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son\Learning\College\Spring 2023\ISSII\"/>
    </mc:Choice>
  </mc:AlternateContent>
  <xr:revisionPtr revIDLastSave="0" documentId="13_ncr:1_{B00B2091-8234-44EC-A872-024B47C013DD}" xr6:coauthVersionLast="47" xr6:coauthVersionMax="47" xr10:uidLastSave="{00000000-0000-0000-0000-000000000000}"/>
  <bookViews>
    <workbookView xWindow="5598" yWindow="786" windowWidth="16110" windowHeight="10836" xr2:uid="{00000000-000D-0000-FFFF-FFFF00000000}"/>
  </bookViews>
  <sheets>
    <sheet name="Sequences" sheetId="7" r:id="rId1"/>
    <sheet name="LSTM_Multichannel" sheetId="16" r:id="rId2"/>
    <sheet name="NN_NoLSTM" sheetId="17" r:id="rId3"/>
    <sheet name="NAR_NN" sheetId="18" r:id="rId4"/>
    <sheet name="RegressionLearner" sheetId="13" r:id="rId5"/>
    <sheet name="RegressionLearner_MC" sheetId="19" r:id="rId6"/>
    <sheet name="Compare All" sheetId="20" r:id="rId7"/>
    <sheet name="Best" sheetId="22" r:id="rId8"/>
  </sheets>
  <definedNames>
    <definedName name="_xlnm._FilterDatabase" localSheetId="7" hidden="1">Best!$A$3:$L$33</definedName>
    <definedName name="_xlnm._FilterDatabase" localSheetId="6" hidden="1">'Compare All'!$A$3:$K$109</definedName>
    <definedName name="_xlnm._FilterDatabase" localSheetId="1">LSTM_Multichannel!$A$2:$N$2</definedName>
    <definedName name="_xlnm._FilterDatabase" localSheetId="3" hidden="1">NAR_NN!$A$2:$K$23</definedName>
    <definedName name="_xlnm._FilterDatabase" localSheetId="2" hidden="1">NN_NoLSTM!$A$2:$P$2</definedName>
    <definedName name="_xlnm._FilterDatabase" localSheetId="4" hidden="1">RegressionLearner!$A$2:$N$20</definedName>
    <definedName name="_xlnm._FilterDatabase" localSheetId="5" hidden="1">RegressionLearner_MC!$A$2:$K$20</definedName>
    <definedName name="_xlnm._FilterDatabase" localSheetId="0" hidden="1">Sequences!$A$1:$A$11</definedName>
    <definedName name="CA">'Compare All'!$A$4:INDEX('Compare All'!$K:$K, 'Compare All'!$K$1)</definedName>
    <definedName name="DIAtempAll">_xlfn._xlws.FILTER(CA,_xlfn.CHOOSECOLS(CA,5)="DIAtemp")</definedName>
    <definedName name="DIAwindAll">_xlfn._xlws.FILTER(CA,_xlfn.CHOOSECOLS(CA,5)="DIAwind")</definedName>
    <definedName name="DickensAll">_xlfn._xlws.FILTER(CA,_xlfn.CHOOSECOLS(CA,5)="Dickens")</definedName>
    <definedName name="HawaiianAll">_xlfn._xlws.FILTER(CA,_xlfn.CHOOSECOLS(CA,5)="Hawaiian")</definedName>
    <definedName name="heart1All">_xlfn._xlws.FILTER(CA,_xlfn.CHOOSECOLS(CA,5)="heart1")</definedName>
    <definedName name="heart2All">_xlfn._xlws.FILTER(CA,_xlfn.CHOOSECOLS(CA,5)="heart2")</definedName>
    <definedName name="Methods">{"LSTM_Multichannel","NN_NoLSTM","NAR_NN","RegressionLearner","RegressionLearner_MC"}</definedName>
    <definedName name="nonuniformAll">_xlfn._xlws.FILTER(CA,_xlfn.CHOOSECOLS(CA,5)="nonuniform")</definedName>
    <definedName name="selfadaptAll">_xlfn._xlws.FILTER(CA,_xlfn.CHOOSECOLS(CA,5)="selfadapt")</definedName>
    <definedName name="Sequences">Sequences!$A$2:$A$11</definedName>
    <definedName name="solarWindAll">_xlfn._xlws.FILTER(CA,_xlfn.CHOOSECOLS(CA,5)="solarWind")</definedName>
    <definedName name="uniformAll">_xlfn._xlws.FILTER(CA,_xlfn.CHOOSECOLS(CA,5)="uniform")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20" l="1"/>
  <c r="H12" i="20" s="1"/>
  <c r="G13" i="20"/>
  <c r="H13" i="20" s="1"/>
  <c r="G14" i="20"/>
  <c r="H14" i="20" s="1"/>
  <c r="G15" i="20"/>
  <c r="H15" i="20" s="1"/>
  <c r="G16" i="20"/>
  <c r="H16" i="20" s="1"/>
  <c r="G17" i="20"/>
  <c r="H17" i="20" s="1"/>
  <c r="G18" i="20"/>
  <c r="H18" i="20"/>
  <c r="G19" i="20"/>
  <c r="H19" i="20"/>
  <c r="G20" i="20"/>
  <c r="H20" i="20" s="1"/>
  <c r="G21" i="20"/>
  <c r="H21" i="20" s="1"/>
  <c r="G22" i="20"/>
  <c r="H22" i="20" s="1"/>
  <c r="G23" i="20"/>
  <c r="H23" i="20" s="1"/>
  <c r="G24" i="20"/>
  <c r="H24" i="20" s="1"/>
  <c r="G25" i="20"/>
  <c r="H25" i="20" s="1"/>
  <c r="G26" i="20"/>
  <c r="H26" i="20"/>
  <c r="G27" i="20"/>
  <c r="H27" i="20"/>
  <c r="G28" i="20"/>
  <c r="H28" i="20" s="1"/>
  <c r="G29" i="20"/>
  <c r="H29" i="20" s="1"/>
  <c r="G30" i="20"/>
  <c r="H30" i="20" s="1"/>
  <c r="G31" i="20"/>
  <c r="H31" i="20" s="1"/>
  <c r="G32" i="20"/>
  <c r="H32" i="20" s="1"/>
  <c r="G33" i="20"/>
  <c r="H33" i="20" s="1"/>
  <c r="G34" i="20"/>
  <c r="H34" i="20"/>
  <c r="G35" i="20"/>
  <c r="H35" i="20"/>
  <c r="G36" i="20"/>
  <c r="H36" i="20" s="1"/>
  <c r="G37" i="20"/>
  <c r="H37" i="20" s="1"/>
  <c r="G38" i="20"/>
  <c r="H38" i="20" s="1"/>
  <c r="G39" i="20"/>
  <c r="H39" i="20" s="1"/>
  <c r="G40" i="20"/>
  <c r="H40" i="20" s="1"/>
  <c r="G41" i="20"/>
  <c r="H41" i="20" s="1"/>
  <c r="G42" i="20"/>
  <c r="H42" i="20"/>
  <c r="G43" i="20"/>
  <c r="H43" i="20"/>
  <c r="G44" i="20"/>
  <c r="H44" i="20" s="1"/>
  <c r="G45" i="20"/>
  <c r="H45" i="20" s="1"/>
  <c r="G46" i="20"/>
  <c r="H46" i="20" s="1"/>
  <c r="G47" i="20"/>
  <c r="H47" i="20" s="1"/>
  <c r="G48" i="20"/>
  <c r="H48" i="20" s="1"/>
  <c r="G49" i="20"/>
  <c r="H49" i="20" s="1"/>
  <c r="G50" i="20"/>
  <c r="H50" i="20"/>
  <c r="G51" i="20"/>
  <c r="H51" i="20"/>
  <c r="G52" i="20"/>
  <c r="H52" i="20" s="1"/>
  <c r="G53" i="20"/>
  <c r="H53" i="20" s="1"/>
  <c r="G54" i="20"/>
  <c r="H54" i="20" s="1"/>
  <c r="G55" i="20"/>
  <c r="H55" i="20" s="1"/>
  <c r="G56" i="20"/>
  <c r="H56" i="20" s="1"/>
  <c r="G57" i="20"/>
  <c r="H57" i="20" s="1"/>
  <c r="G58" i="20"/>
  <c r="H58" i="20"/>
  <c r="G59" i="20"/>
  <c r="H59" i="20"/>
  <c r="G60" i="20"/>
  <c r="H60" i="20" s="1"/>
  <c r="G61" i="20"/>
  <c r="H61" i="20" s="1"/>
  <c r="G62" i="20"/>
  <c r="H62" i="20" s="1"/>
  <c r="G63" i="20"/>
  <c r="H63" i="20" s="1"/>
  <c r="G64" i="20"/>
  <c r="H64" i="20" s="1"/>
  <c r="G65" i="20"/>
  <c r="H65" i="20" s="1"/>
  <c r="G66" i="20"/>
  <c r="H66" i="20"/>
  <c r="G67" i="20"/>
  <c r="H67" i="20"/>
  <c r="G68" i="20"/>
  <c r="H68" i="20" s="1"/>
  <c r="G69" i="20"/>
  <c r="H69" i="20" s="1"/>
  <c r="G70" i="20"/>
  <c r="H70" i="20" s="1"/>
  <c r="G71" i="20"/>
  <c r="H71" i="20" s="1"/>
  <c r="G72" i="20"/>
  <c r="H72" i="20" s="1"/>
  <c r="G73" i="20"/>
  <c r="H73" i="20" s="1"/>
  <c r="G74" i="20"/>
  <c r="H74" i="20"/>
  <c r="G75" i="20"/>
  <c r="H75" i="20"/>
  <c r="G76" i="20"/>
  <c r="H76" i="20" s="1"/>
  <c r="G77" i="20"/>
  <c r="H77" i="20" s="1"/>
  <c r="G78" i="20"/>
  <c r="H78" i="20" s="1"/>
  <c r="G79" i="20"/>
  <c r="H79" i="20" s="1"/>
  <c r="G80" i="20"/>
  <c r="H80" i="20" s="1"/>
  <c r="G81" i="20"/>
  <c r="H81" i="20" s="1"/>
  <c r="G82" i="20"/>
  <c r="H82" i="20"/>
  <c r="G83" i="20"/>
  <c r="H83" i="20"/>
  <c r="G84" i="20"/>
  <c r="H84" i="20" s="1"/>
  <c r="G85" i="20"/>
  <c r="H85" i="20" s="1"/>
  <c r="G86" i="20"/>
  <c r="H86" i="20" s="1"/>
  <c r="G87" i="20"/>
  <c r="H87" i="20" s="1"/>
  <c r="G88" i="20"/>
  <c r="H88" i="20" s="1"/>
  <c r="G89" i="20"/>
  <c r="H89" i="20" s="1"/>
  <c r="G90" i="20"/>
  <c r="H90" i="20"/>
  <c r="G91" i="20"/>
  <c r="H91" i="20"/>
  <c r="G92" i="20"/>
  <c r="H92" i="20" s="1"/>
  <c r="G93" i="20"/>
  <c r="H93" i="20" s="1"/>
  <c r="G94" i="20"/>
  <c r="H94" i="20" s="1"/>
  <c r="G95" i="20"/>
  <c r="H95" i="20" s="1"/>
  <c r="G96" i="20"/>
  <c r="H96" i="20" s="1"/>
  <c r="G97" i="20"/>
  <c r="H97" i="20" s="1"/>
  <c r="G98" i="20"/>
  <c r="H98" i="20"/>
  <c r="G99" i="20"/>
  <c r="H99" i="20"/>
  <c r="G100" i="20"/>
  <c r="H100" i="20" s="1"/>
  <c r="G101" i="20"/>
  <c r="H101" i="20" s="1"/>
  <c r="G102" i="20"/>
  <c r="H102" i="20" s="1"/>
  <c r="G103" i="20"/>
  <c r="H103" i="20" s="1"/>
  <c r="G104" i="20"/>
  <c r="H104" i="20" s="1"/>
  <c r="G105" i="20"/>
  <c r="H105" i="20" s="1"/>
  <c r="G106" i="20"/>
  <c r="H106" i="20"/>
  <c r="G107" i="20"/>
  <c r="H107" i="20"/>
  <c r="G108" i="20"/>
  <c r="H108" i="20" s="1"/>
  <c r="G109" i="20"/>
  <c r="H109" i="20" s="1"/>
  <c r="G4" i="20"/>
  <c r="H4" i="20" s="1"/>
  <c r="G10" i="19"/>
  <c r="G6" i="19"/>
  <c r="G5" i="19"/>
  <c r="H5" i="19" s="1"/>
  <c r="G8" i="18"/>
  <c r="G17" i="17"/>
  <c r="G9" i="17"/>
  <c r="G38" i="16"/>
  <c r="C8" i="7"/>
  <c r="E57" i="20"/>
  <c r="I57" i="20" s="1"/>
  <c r="C57" i="20"/>
  <c r="B57" i="20"/>
  <c r="A57" i="20"/>
  <c r="E40" i="16"/>
  <c r="I40" i="16" s="1"/>
  <c r="J40" i="16" s="1"/>
  <c r="C40" i="16"/>
  <c r="B40" i="16"/>
  <c r="A40" i="16"/>
  <c r="E24" i="20"/>
  <c r="I24" i="20" s="1"/>
  <c r="C24" i="20"/>
  <c r="B24" i="20"/>
  <c r="A24" i="20"/>
  <c r="I39" i="16"/>
  <c r="J39" i="16" s="1"/>
  <c r="E39" i="16"/>
  <c r="G39" i="16" s="1"/>
  <c r="H39" i="16" s="1"/>
  <c r="C39" i="16"/>
  <c r="B39" i="16"/>
  <c r="A39" i="16"/>
  <c r="I38" i="16"/>
  <c r="J38" i="16" s="1"/>
  <c r="A78" i="20"/>
  <c r="B78" i="20"/>
  <c r="C78" i="20"/>
  <c r="E78" i="20"/>
  <c r="I78" i="20" s="1"/>
  <c r="A38" i="16"/>
  <c r="B38" i="16"/>
  <c r="D38" i="16" s="1"/>
  <c r="C38" i="16"/>
  <c r="E38" i="16"/>
  <c r="E26" i="20"/>
  <c r="I26" i="20" s="1"/>
  <c r="C26" i="20"/>
  <c r="B26" i="20"/>
  <c r="A26" i="20"/>
  <c r="A23" i="17"/>
  <c r="B23" i="17"/>
  <c r="C23" i="17"/>
  <c r="E23" i="17"/>
  <c r="I23" i="17" s="1"/>
  <c r="E91" i="20"/>
  <c r="I91" i="20" s="1"/>
  <c r="C91" i="20"/>
  <c r="B91" i="20"/>
  <c r="A91" i="20"/>
  <c r="E92" i="20"/>
  <c r="I92" i="20" s="1"/>
  <c r="C92" i="20"/>
  <c r="B92" i="20"/>
  <c r="A92" i="20"/>
  <c r="E86" i="20"/>
  <c r="I86" i="20" s="1"/>
  <c r="C86" i="20"/>
  <c r="B86" i="20"/>
  <c r="A86" i="20"/>
  <c r="A20" i="18"/>
  <c r="B20" i="18"/>
  <c r="C20" i="18"/>
  <c r="E20" i="18"/>
  <c r="I20" i="18" s="1"/>
  <c r="A21" i="18"/>
  <c r="B21" i="18"/>
  <c r="C21" i="18"/>
  <c r="E21" i="18"/>
  <c r="I21" i="18" s="1"/>
  <c r="A22" i="18"/>
  <c r="B22" i="18"/>
  <c r="C22" i="18"/>
  <c r="E22" i="18"/>
  <c r="I22" i="18" s="1"/>
  <c r="E90" i="20"/>
  <c r="I90" i="20" s="1"/>
  <c r="C90" i="20"/>
  <c r="B90" i="20"/>
  <c r="A90" i="20"/>
  <c r="E56" i="20"/>
  <c r="I56" i="20" s="1"/>
  <c r="C56" i="20"/>
  <c r="B56" i="20"/>
  <c r="A56" i="20"/>
  <c r="A22" i="17"/>
  <c r="B22" i="17"/>
  <c r="C22" i="17"/>
  <c r="E22" i="17"/>
  <c r="I22" i="17" s="1"/>
  <c r="A21" i="17"/>
  <c r="B21" i="17"/>
  <c r="D21" i="17" s="1"/>
  <c r="C21" i="17"/>
  <c r="E21" i="17"/>
  <c r="I21" i="17" s="1"/>
  <c r="E89" i="20"/>
  <c r="I89" i="20" s="1"/>
  <c r="C89" i="20"/>
  <c r="B89" i="20"/>
  <c r="A89" i="20"/>
  <c r="A37" i="16"/>
  <c r="B37" i="16"/>
  <c r="C37" i="16"/>
  <c r="E37" i="16"/>
  <c r="I37" i="16" s="1"/>
  <c r="E25" i="20"/>
  <c r="I25" i="20" s="1"/>
  <c r="C25" i="20"/>
  <c r="B25" i="20"/>
  <c r="A25" i="20"/>
  <c r="A36" i="16"/>
  <c r="B36" i="16"/>
  <c r="C36" i="16"/>
  <c r="E36" i="16"/>
  <c r="I36" i="16" s="1"/>
  <c r="E19" i="20"/>
  <c r="I19" i="20" s="1"/>
  <c r="C19" i="20"/>
  <c r="B19" i="20"/>
  <c r="A19" i="20"/>
  <c r="E16" i="20"/>
  <c r="I16" i="20" s="1"/>
  <c r="C16" i="20"/>
  <c r="B16" i="20"/>
  <c r="A16" i="20"/>
  <c r="E20" i="20"/>
  <c r="I20" i="20" s="1"/>
  <c r="C20" i="20"/>
  <c r="B20" i="20"/>
  <c r="A20" i="20"/>
  <c r="E17" i="20"/>
  <c r="I17" i="20" s="1"/>
  <c r="C17" i="20"/>
  <c r="B17" i="20"/>
  <c r="A17" i="20"/>
  <c r="A25" i="16"/>
  <c r="B25" i="16"/>
  <c r="C25" i="16"/>
  <c r="E25" i="16"/>
  <c r="I25" i="16" s="1"/>
  <c r="A27" i="16"/>
  <c r="B27" i="16"/>
  <c r="C27" i="16"/>
  <c r="E27" i="16"/>
  <c r="I27" i="16" s="1"/>
  <c r="A26" i="16"/>
  <c r="B26" i="16"/>
  <c r="C26" i="16"/>
  <c r="E26" i="16"/>
  <c r="I26" i="16" s="1"/>
  <c r="A24" i="16"/>
  <c r="B24" i="16"/>
  <c r="C24" i="16"/>
  <c r="E24" i="16"/>
  <c r="I24" i="16" s="1"/>
  <c r="E102" i="20"/>
  <c r="I102" i="20" s="1"/>
  <c r="C102" i="20"/>
  <c r="B102" i="20"/>
  <c r="A102" i="20"/>
  <c r="E96" i="20"/>
  <c r="I96" i="20" s="1"/>
  <c r="C96" i="20"/>
  <c r="B96" i="20"/>
  <c r="A96" i="20"/>
  <c r="E88" i="20"/>
  <c r="I88" i="20" s="1"/>
  <c r="C88" i="20"/>
  <c r="B88" i="20"/>
  <c r="A88" i="20"/>
  <c r="E81" i="20"/>
  <c r="I81" i="20" s="1"/>
  <c r="C81" i="20"/>
  <c r="B81" i="20"/>
  <c r="A81" i="20"/>
  <c r="E63" i="20"/>
  <c r="I63" i="20" s="1"/>
  <c r="C63" i="20"/>
  <c r="B63" i="20"/>
  <c r="A63" i="20"/>
  <c r="E48" i="20"/>
  <c r="I48" i="20" s="1"/>
  <c r="C48" i="20"/>
  <c r="B48" i="20"/>
  <c r="A48" i="20"/>
  <c r="E38" i="20"/>
  <c r="I38" i="20" s="1"/>
  <c r="C38" i="20"/>
  <c r="B38" i="20"/>
  <c r="A38" i="20"/>
  <c r="E15" i="20"/>
  <c r="I15" i="20" s="1"/>
  <c r="C15" i="20"/>
  <c r="B15" i="20"/>
  <c r="A15" i="20"/>
  <c r="E10" i="20"/>
  <c r="I10" i="20" s="1"/>
  <c r="C10" i="20"/>
  <c r="B10" i="20"/>
  <c r="A10" i="20"/>
  <c r="E27" i="20"/>
  <c r="I27" i="20" s="1"/>
  <c r="C27" i="20"/>
  <c r="B27" i="20"/>
  <c r="A27" i="20"/>
  <c r="E46" i="20"/>
  <c r="I46" i="20" s="1"/>
  <c r="C46" i="20"/>
  <c r="B46" i="20"/>
  <c r="A46" i="20"/>
  <c r="E43" i="20"/>
  <c r="I43" i="20" s="1"/>
  <c r="C43" i="20"/>
  <c r="B43" i="20"/>
  <c r="A43" i="20"/>
  <c r="E42" i="20"/>
  <c r="I42" i="20" s="1"/>
  <c r="C42" i="20"/>
  <c r="B42" i="20"/>
  <c r="A42" i="20"/>
  <c r="E40" i="20"/>
  <c r="I40" i="20" s="1"/>
  <c r="C40" i="20"/>
  <c r="B40" i="20"/>
  <c r="A40" i="20"/>
  <c r="E41" i="20"/>
  <c r="I41" i="20" s="1"/>
  <c r="C41" i="20"/>
  <c r="B41" i="20"/>
  <c r="A41" i="20"/>
  <c r="E44" i="20"/>
  <c r="I44" i="20" s="1"/>
  <c r="C44" i="20"/>
  <c r="B44" i="20"/>
  <c r="A44" i="20"/>
  <c r="E11" i="20"/>
  <c r="I11" i="20" s="1"/>
  <c r="C11" i="20"/>
  <c r="B11" i="20"/>
  <c r="A11" i="20"/>
  <c r="E87" i="20"/>
  <c r="I87" i="20" s="1"/>
  <c r="C87" i="20"/>
  <c r="B87" i="20"/>
  <c r="A87" i="20"/>
  <c r="E109" i="20"/>
  <c r="I109" i="20" s="1"/>
  <c r="C109" i="20"/>
  <c r="B109" i="20"/>
  <c r="A109" i="20"/>
  <c r="E77" i="20"/>
  <c r="I77" i="20" s="1"/>
  <c r="C77" i="20"/>
  <c r="B77" i="20"/>
  <c r="A77" i="20"/>
  <c r="E45" i="20"/>
  <c r="I45" i="20" s="1"/>
  <c r="C45" i="20"/>
  <c r="B45" i="20"/>
  <c r="A45" i="20"/>
  <c r="E13" i="20"/>
  <c r="I13" i="20" s="1"/>
  <c r="C13" i="20"/>
  <c r="B13" i="20"/>
  <c r="A13" i="20"/>
  <c r="E23" i="20"/>
  <c r="I23" i="20" s="1"/>
  <c r="C23" i="20"/>
  <c r="B23" i="20"/>
  <c r="A23" i="20"/>
  <c r="E47" i="20"/>
  <c r="I47" i="20" s="1"/>
  <c r="C47" i="20"/>
  <c r="B47" i="20"/>
  <c r="A47" i="20"/>
  <c r="E76" i="20"/>
  <c r="I76" i="20" s="1"/>
  <c r="C76" i="20"/>
  <c r="B76" i="20"/>
  <c r="A76" i="20"/>
  <c r="E101" i="20"/>
  <c r="I101" i="20" s="1"/>
  <c r="C101" i="20"/>
  <c r="B101" i="20"/>
  <c r="A101" i="20"/>
  <c r="E52" i="20"/>
  <c r="I52" i="20" s="1"/>
  <c r="C52" i="20"/>
  <c r="B52" i="20"/>
  <c r="A52" i="20"/>
  <c r="E54" i="20"/>
  <c r="I54" i="20" s="1"/>
  <c r="C54" i="20"/>
  <c r="B54" i="20"/>
  <c r="A54" i="20"/>
  <c r="E80" i="20"/>
  <c r="I80" i="20" s="1"/>
  <c r="C80" i="20"/>
  <c r="B80" i="20"/>
  <c r="A80" i="20"/>
  <c r="E107" i="20"/>
  <c r="I107" i="20" s="1"/>
  <c r="C107" i="20"/>
  <c r="B107" i="20"/>
  <c r="A107" i="20"/>
  <c r="E39" i="20"/>
  <c r="I39" i="20" s="1"/>
  <c r="C39" i="20"/>
  <c r="B39" i="20"/>
  <c r="A39" i="20"/>
  <c r="E12" i="20"/>
  <c r="I12" i="20" s="1"/>
  <c r="C12" i="20"/>
  <c r="B12" i="20"/>
  <c r="A12" i="20"/>
  <c r="E22" i="20"/>
  <c r="I22" i="20" s="1"/>
  <c r="C22" i="20"/>
  <c r="B22" i="20"/>
  <c r="A22" i="20"/>
  <c r="E55" i="20"/>
  <c r="I55" i="20" s="1"/>
  <c r="C55" i="20"/>
  <c r="B55" i="20"/>
  <c r="A55" i="20"/>
  <c r="E53" i="20"/>
  <c r="I53" i="20" s="1"/>
  <c r="C53" i="20"/>
  <c r="B53" i="20"/>
  <c r="A53" i="20"/>
  <c r="E74" i="20"/>
  <c r="I74" i="20" s="1"/>
  <c r="C74" i="20"/>
  <c r="B74" i="20"/>
  <c r="A74" i="20"/>
  <c r="E66" i="20"/>
  <c r="I66" i="20" s="1"/>
  <c r="C66" i="20"/>
  <c r="B66" i="20"/>
  <c r="A66" i="20"/>
  <c r="E73" i="20"/>
  <c r="I73" i="20" s="1"/>
  <c r="C73" i="20"/>
  <c r="B73" i="20"/>
  <c r="A73" i="20"/>
  <c r="E71" i="20"/>
  <c r="I71" i="20" s="1"/>
  <c r="C71" i="20"/>
  <c r="B71" i="20"/>
  <c r="A71" i="20"/>
  <c r="E69" i="20"/>
  <c r="I69" i="20" s="1"/>
  <c r="C69" i="20"/>
  <c r="B69" i="20"/>
  <c r="A69" i="20"/>
  <c r="E68" i="20"/>
  <c r="I68" i="20" s="1"/>
  <c r="C68" i="20"/>
  <c r="B68" i="20"/>
  <c r="A68" i="20"/>
  <c r="E70" i="20"/>
  <c r="I70" i="20" s="1"/>
  <c r="C70" i="20"/>
  <c r="B70" i="20"/>
  <c r="A70" i="20"/>
  <c r="E72" i="20"/>
  <c r="I72" i="20" s="1"/>
  <c r="C72" i="20"/>
  <c r="B72" i="20"/>
  <c r="A72" i="20"/>
  <c r="E98" i="20"/>
  <c r="I98" i="20" s="1"/>
  <c r="C98" i="20"/>
  <c r="B98" i="20"/>
  <c r="A98" i="20"/>
  <c r="E103" i="20"/>
  <c r="I103" i="20" s="1"/>
  <c r="C103" i="20"/>
  <c r="B103" i="20"/>
  <c r="A103" i="20"/>
  <c r="E97" i="20"/>
  <c r="I97" i="20" s="1"/>
  <c r="C97" i="20"/>
  <c r="B97" i="20"/>
  <c r="A97" i="20"/>
  <c r="E94" i="20"/>
  <c r="I94" i="20" s="1"/>
  <c r="C94" i="20"/>
  <c r="B94" i="20"/>
  <c r="A94" i="20"/>
  <c r="E93" i="20"/>
  <c r="I93" i="20" s="1"/>
  <c r="C93" i="20"/>
  <c r="B93" i="20"/>
  <c r="A93" i="20"/>
  <c r="E79" i="20"/>
  <c r="I79" i="20" s="1"/>
  <c r="C79" i="20"/>
  <c r="B79" i="20"/>
  <c r="A79" i="20"/>
  <c r="E58" i="20"/>
  <c r="I58" i="20" s="1"/>
  <c r="C58" i="20"/>
  <c r="B58" i="20"/>
  <c r="A58" i="20"/>
  <c r="E59" i="20"/>
  <c r="I59" i="20" s="1"/>
  <c r="C59" i="20"/>
  <c r="B59" i="20"/>
  <c r="A59" i="20"/>
  <c r="E61" i="20"/>
  <c r="I61" i="20" s="1"/>
  <c r="C61" i="20"/>
  <c r="B61" i="20"/>
  <c r="A61" i="20"/>
  <c r="E60" i="20"/>
  <c r="I60" i="20" s="1"/>
  <c r="C60" i="20"/>
  <c r="B60" i="20"/>
  <c r="A60" i="20"/>
  <c r="E35" i="20"/>
  <c r="I35" i="20" s="1"/>
  <c r="C35" i="20"/>
  <c r="B35" i="20"/>
  <c r="A35" i="20"/>
  <c r="E37" i="20"/>
  <c r="I37" i="20" s="1"/>
  <c r="C37" i="20"/>
  <c r="B37" i="20"/>
  <c r="A37" i="20"/>
  <c r="E36" i="20"/>
  <c r="I36" i="20" s="1"/>
  <c r="C36" i="20"/>
  <c r="B36" i="20"/>
  <c r="A36" i="20"/>
  <c r="E33" i="20"/>
  <c r="I33" i="20" s="1"/>
  <c r="C33" i="20"/>
  <c r="B33" i="20"/>
  <c r="A33" i="20"/>
  <c r="E18" i="20"/>
  <c r="I18" i="20" s="1"/>
  <c r="C18" i="20"/>
  <c r="B18" i="20"/>
  <c r="A18" i="20"/>
  <c r="E14" i="20"/>
  <c r="I14" i="20" s="1"/>
  <c r="C14" i="20"/>
  <c r="B14" i="20"/>
  <c r="A14" i="20"/>
  <c r="E21" i="20"/>
  <c r="I21" i="20" s="1"/>
  <c r="C21" i="20"/>
  <c r="B21" i="20"/>
  <c r="A21" i="20"/>
  <c r="E8" i="20"/>
  <c r="I8" i="20" s="1"/>
  <c r="C8" i="20"/>
  <c r="B8" i="20"/>
  <c r="A8" i="20"/>
  <c r="E9" i="20"/>
  <c r="I9" i="20" s="1"/>
  <c r="C9" i="20"/>
  <c r="B9" i="20"/>
  <c r="A9" i="20"/>
  <c r="E85" i="20"/>
  <c r="I85" i="20" s="1"/>
  <c r="C85" i="20"/>
  <c r="B85" i="20"/>
  <c r="A85" i="20"/>
  <c r="E84" i="20"/>
  <c r="I84" i="20" s="1"/>
  <c r="C84" i="20"/>
  <c r="B84" i="20"/>
  <c r="A84" i="20"/>
  <c r="E83" i="20"/>
  <c r="I83" i="20" s="1"/>
  <c r="C83" i="20"/>
  <c r="B83" i="20"/>
  <c r="A83" i="20"/>
  <c r="E82" i="20"/>
  <c r="I82" i="20" s="1"/>
  <c r="C82" i="20"/>
  <c r="B82" i="20"/>
  <c r="A82" i="20"/>
  <c r="E105" i="20"/>
  <c r="I105" i="20" s="1"/>
  <c r="C105" i="20"/>
  <c r="B105" i="20"/>
  <c r="A105" i="20"/>
  <c r="E106" i="20"/>
  <c r="I106" i="20" s="1"/>
  <c r="C106" i="20"/>
  <c r="B106" i="20"/>
  <c r="A106" i="20"/>
  <c r="E108" i="20"/>
  <c r="I108" i="20" s="1"/>
  <c r="C108" i="20"/>
  <c r="B108" i="20"/>
  <c r="A108" i="20"/>
  <c r="E104" i="20"/>
  <c r="I104" i="20" s="1"/>
  <c r="C104" i="20"/>
  <c r="B104" i="20"/>
  <c r="A104" i="20"/>
  <c r="E34" i="20"/>
  <c r="I34" i="20" s="1"/>
  <c r="C34" i="20"/>
  <c r="B34" i="20"/>
  <c r="A34" i="20"/>
  <c r="E32" i="20"/>
  <c r="I32" i="20" s="1"/>
  <c r="C32" i="20"/>
  <c r="B32" i="20"/>
  <c r="A32" i="20"/>
  <c r="E31" i="20"/>
  <c r="I31" i="20" s="1"/>
  <c r="C31" i="20"/>
  <c r="B31" i="20"/>
  <c r="A31" i="20"/>
  <c r="E30" i="20"/>
  <c r="I30" i="20" s="1"/>
  <c r="C30" i="20"/>
  <c r="B30" i="20"/>
  <c r="A30" i="20"/>
  <c r="E29" i="20"/>
  <c r="I29" i="20" s="1"/>
  <c r="C29" i="20"/>
  <c r="B29" i="20"/>
  <c r="A29" i="20"/>
  <c r="E28" i="20"/>
  <c r="I28" i="20" s="1"/>
  <c r="C28" i="20"/>
  <c r="B28" i="20"/>
  <c r="A28" i="20"/>
  <c r="E6" i="20"/>
  <c r="I6" i="20" s="1"/>
  <c r="C6" i="20"/>
  <c r="B6" i="20"/>
  <c r="A6" i="20"/>
  <c r="E7" i="20"/>
  <c r="I7" i="20" s="1"/>
  <c r="C7" i="20"/>
  <c r="B7" i="20"/>
  <c r="A7" i="20"/>
  <c r="E5" i="20"/>
  <c r="I5" i="20" s="1"/>
  <c r="C5" i="20"/>
  <c r="B5" i="20"/>
  <c r="A5" i="20"/>
  <c r="E4" i="20"/>
  <c r="I4" i="20" s="1"/>
  <c r="C4" i="20"/>
  <c r="B4" i="20"/>
  <c r="A4" i="20"/>
  <c r="E75" i="20"/>
  <c r="I75" i="20" s="1"/>
  <c r="C75" i="20"/>
  <c r="B75" i="20"/>
  <c r="A75" i="20"/>
  <c r="E50" i="20"/>
  <c r="I50" i="20" s="1"/>
  <c r="C50" i="20"/>
  <c r="B50" i="20"/>
  <c r="A50" i="20"/>
  <c r="E51" i="20"/>
  <c r="I51" i="20" s="1"/>
  <c r="C51" i="20"/>
  <c r="B51" i="20"/>
  <c r="A51" i="20"/>
  <c r="E67" i="20"/>
  <c r="I67" i="20" s="1"/>
  <c r="C67" i="20"/>
  <c r="B67" i="20"/>
  <c r="A67" i="20"/>
  <c r="E65" i="20"/>
  <c r="I65" i="20" s="1"/>
  <c r="C65" i="20"/>
  <c r="B65" i="20"/>
  <c r="A65" i="20"/>
  <c r="E64" i="20"/>
  <c r="I64" i="20" s="1"/>
  <c r="C64" i="20"/>
  <c r="B64" i="20"/>
  <c r="A64" i="20"/>
  <c r="E49" i="20"/>
  <c r="I49" i="20" s="1"/>
  <c r="C49" i="20"/>
  <c r="B49" i="20"/>
  <c r="A49" i="20"/>
  <c r="E100" i="20"/>
  <c r="I100" i="20" s="1"/>
  <c r="C100" i="20"/>
  <c r="B100" i="20"/>
  <c r="A100" i="20"/>
  <c r="E99" i="20"/>
  <c r="I99" i="20" s="1"/>
  <c r="C99" i="20"/>
  <c r="B99" i="20"/>
  <c r="A99" i="20"/>
  <c r="E62" i="20"/>
  <c r="I62" i="20" s="1"/>
  <c r="C62" i="20"/>
  <c r="B62" i="20"/>
  <c r="A62" i="20"/>
  <c r="E95" i="20"/>
  <c r="I95" i="20" s="1"/>
  <c r="C95" i="20"/>
  <c r="B95" i="20"/>
  <c r="A95" i="20"/>
  <c r="A4" i="19"/>
  <c r="B4" i="19"/>
  <c r="D4" i="19" s="1"/>
  <c r="C4" i="19"/>
  <c r="E4" i="19"/>
  <c r="G4" i="19" s="1"/>
  <c r="I4" i="19"/>
  <c r="A5" i="19"/>
  <c r="B5" i="19"/>
  <c r="C5" i="19"/>
  <c r="E5" i="19"/>
  <c r="I5" i="19" s="1"/>
  <c r="J5" i="19" s="1"/>
  <c r="A6" i="19"/>
  <c r="B6" i="19"/>
  <c r="H6" i="19" s="1"/>
  <c r="C6" i="19"/>
  <c r="D6" i="19"/>
  <c r="E6" i="19"/>
  <c r="I6" i="19"/>
  <c r="A7" i="19"/>
  <c r="B7" i="19"/>
  <c r="C7" i="19"/>
  <c r="E7" i="19"/>
  <c r="G7" i="19" s="1"/>
  <c r="I7" i="19"/>
  <c r="A8" i="19"/>
  <c r="B8" i="19"/>
  <c r="C8" i="19"/>
  <c r="E8" i="19"/>
  <c r="G8" i="19" s="1"/>
  <c r="A9" i="19"/>
  <c r="B9" i="19"/>
  <c r="C9" i="19"/>
  <c r="D9" i="19" s="1"/>
  <c r="E9" i="19"/>
  <c r="G9" i="19" s="1"/>
  <c r="H9" i="19" s="1"/>
  <c r="A10" i="19"/>
  <c r="B10" i="19"/>
  <c r="H10" i="19" s="1"/>
  <c r="C10" i="19"/>
  <c r="E10" i="19"/>
  <c r="I10" i="19"/>
  <c r="A11" i="19"/>
  <c r="B11" i="19"/>
  <c r="C11" i="19"/>
  <c r="E11" i="19"/>
  <c r="G11" i="19" s="1"/>
  <c r="E3" i="19"/>
  <c r="I3" i="19" s="1"/>
  <c r="C3" i="19"/>
  <c r="B3" i="19"/>
  <c r="A3" i="19"/>
  <c r="A9" i="18"/>
  <c r="B9" i="18"/>
  <c r="C9" i="18"/>
  <c r="E9" i="18"/>
  <c r="I9" i="18" s="1"/>
  <c r="A7" i="18"/>
  <c r="B7" i="18"/>
  <c r="C7" i="18"/>
  <c r="E7" i="18"/>
  <c r="I7" i="18" s="1"/>
  <c r="A5" i="18"/>
  <c r="B5" i="18"/>
  <c r="C5" i="18"/>
  <c r="E5" i="18"/>
  <c r="I5" i="18" s="1"/>
  <c r="A6" i="18"/>
  <c r="B6" i="18"/>
  <c r="C6" i="18"/>
  <c r="E6" i="18"/>
  <c r="I6" i="18" s="1"/>
  <c r="A8" i="18"/>
  <c r="B8" i="18"/>
  <c r="H8" i="18" s="1"/>
  <c r="C8" i="18"/>
  <c r="E8" i="18"/>
  <c r="I8" i="18" s="1"/>
  <c r="A10" i="18"/>
  <c r="B10" i="18"/>
  <c r="C10" i="18"/>
  <c r="E10" i="18"/>
  <c r="I10" i="18" s="1"/>
  <c r="A4" i="18"/>
  <c r="B4" i="18"/>
  <c r="C4" i="18"/>
  <c r="E4" i="18"/>
  <c r="I4" i="18" s="1"/>
  <c r="A11" i="18"/>
  <c r="B11" i="18"/>
  <c r="C11" i="18"/>
  <c r="E11" i="18"/>
  <c r="I11" i="18" s="1"/>
  <c r="A15" i="18"/>
  <c r="B15" i="18"/>
  <c r="C15" i="18"/>
  <c r="E15" i="18"/>
  <c r="I15" i="18" s="1"/>
  <c r="A14" i="18"/>
  <c r="B14" i="18"/>
  <c r="C14" i="18"/>
  <c r="E14" i="18"/>
  <c r="I14" i="18" s="1"/>
  <c r="A16" i="18"/>
  <c r="B16" i="18"/>
  <c r="C16" i="18"/>
  <c r="E16" i="18"/>
  <c r="I16" i="18" s="1"/>
  <c r="A17" i="18"/>
  <c r="B17" i="18"/>
  <c r="C17" i="18"/>
  <c r="E17" i="18"/>
  <c r="I17" i="18" s="1"/>
  <c r="A18" i="18"/>
  <c r="B18" i="18"/>
  <c r="C18" i="18"/>
  <c r="E18" i="18"/>
  <c r="I18" i="18" s="1"/>
  <c r="A19" i="18"/>
  <c r="B19" i="18"/>
  <c r="C19" i="18"/>
  <c r="E19" i="18"/>
  <c r="I19" i="18" s="1"/>
  <c r="A23" i="18"/>
  <c r="B23" i="18"/>
  <c r="C23" i="18"/>
  <c r="E23" i="18"/>
  <c r="I23" i="18" s="1"/>
  <c r="A12" i="18"/>
  <c r="B12" i="18"/>
  <c r="C12" i="18"/>
  <c r="E12" i="18"/>
  <c r="I12" i="18" s="1"/>
  <c r="A13" i="18"/>
  <c r="B13" i="18"/>
  <c r="C13" i="18"/>
  <c r="E13" i="18"/>
  <c r="I13" i="18" s="1"/>
  <c r="E3" i="18"/>
  <c r="I3" i="18" s="1"/>
  <c r="C3" i="18"/>
  <c r="B3" i="18"/>
  <c r="A3" i="18"/>
  <c r="A14" i="17"/>
  <c r="B14" i="17"/>
  <c r="C14" i="17"/>
  <c r="E14" i="17"/>
  <c r="I14" i="17" s="1"/>
  <c r="A18" i="17"/>
  <c r="B18" i="17"/>
  <c r="C18" i="17"/>
  <c r="E18" i="17"/>
  <c r="I18" i="17" s="1"/>
  <c r="A16" i="17"/>
  <c r="B16" i="17"/>
  <c r="C16" i="17"/>
  <c r="E16" i="17"/>
  <c r="I16" i="17" s="1"/>
  <c r="A17" i="17"/>
  <c r="B17" i="17"/>
  <c r="H17" i="17" s="1"/>
  <c r="C17" i="17"/>
  <c r="E17" i="17"/>
  <c r="I17" i="17" s="1"/>
  <c r="J17" i="17" s="1"/>
  <c r="A10" i="17"/>
  <c r="B10" i="17"/>
  <c r="C10" i="17"/>
  <c r="E10" i="17"/>
  <c r="I10" i="17" s="1"/>
  <c r="A12" i="17"/>
  <c r="B12" i="17"/>
  <c r="C12" i="17"/>
  <c r="E12" i="17"/>
  <c r="I12" i="17" s="1"/>
  <c r="J12" i="17" s="1"/>
  <c r="A13" i="17"/>
  <c r="B13" i="17"/>
  <c r="C13" i="17"/>
  <c r="E13" i="17"/>
  <c r="I13" i="17" s="1"/>
  <c r="J13" i="17" s="1"/>
  <c r="A11" i="17"/>
  <c r="B11" i="17"/>
  <c r="C11" i="17"/>
  <c r="D11" i="17" s="1"/>
  <c r="E11" i="17"/>
  <c r="I11" i="17" s="1"/>
  <c r="A7" i="17"/>
  <c r="B7" i="17"/>
  <c r="C7" i="17"/>
  <c r="E7" i="17"/>
  <c r="I7" i="17" s="1"/>
  <c r="A8" i="17"/>
  <c r="B8" i="17"/>
  <c r="C8" i="17"/>
  <c r="E8" i="17"/>
  <c r="I8" i="17" s="1"/>
  <c r="J8" i="17" s="1"/>
  <c r="A5" i="17"/>
  <c r="B5" i="17"/>
  <c r="C5" i="17"/>
  <c r="E5" i="17"/>
  <c r="I5" i="17" s="1"/>
  <c r="A6" i="17"/>
  <c r="B6" i="17"/>
  <c r="C6" i="17"/>
  <c r="E6" i="17"/>
  <c r="I6" i="17" s="1"/>
  <c r="J6" i="17" s="1"/>
  <c r="A20" i="17"/>
  <c r="B20" i="17"/>
  <c r="C20" i="17"/>
  <c r="E20" i="17"/>
  <c r="I20" i="17" s="1"/>
  <c r="A3" i="17"/>
  <c r="B3" i="17"/>
  <c r="C3" i="17"/>
  <c r="E3" i="17"/>
  <c r="I3" i="17" s="1"/>
  <c r="A4" i="17"/>
  <c r="B4" i="17"/>
  <c r="C4" i="17"/>
  <c r="E4" i="17"/>
  <c r="I4" i="17" s="1"/>
  <c r="J4" i="17" s="1"/>
  <c r="A9" i="17"/>
  <c r="B9" i="17"/>
  <c r="H9" i="17" s="1"/>
  <c r="C9" i="17"/>
  <c r="E9" i="17"/>
  <c r="I9" i="17" s="1"/>
  <c r="A19" i="17"/>
  <c r="B19" i="17"/>
  <c r="C19" i="17"/>
  <c r="E19" i="17"/>
  <c r="I19" i="17" s="1"/>
  <c r="E15" i="17"/>
  <c r="I15" i="17" s="1"/>
  <c r="C15" i="17"/>
  <c r="B15" i="17"/>
  <c r="A15" i="17"/>
  <c r="A4" i="16"/>
  <c r="B4" i="16"/>
  <c r="C4" i="16"/>
  <c r="E4" i="16"/>
  <c r="I4" i="16" s="1"/>
  <c r="A6" i="16"/>
  <c r="B6" i="16"/>
  <c r="C6" i="16"/>
  <c r="E6" i="16"/>
  <c r="I6" i="16" s="1"/>
  <c r="A5" i="16"/>
  <c r="B5" i="16"/>
  <c r="C5" i="16"/>
  <c r="E5" i="16"/>
  <c r="I5" i="16" s="1"/>
  <c r="A9" i="16"/>
  <c r="B9" i="16"/>
  <c r="C9" i="16"/>
  <c r="E9" i="16"/>
  <c r="I9" i="16" s="1"/>
  <c r="A7" i="16"/>
  <c r="B7" i="16"/>
  <c r="C7" i="16"/>
  <c r="E7" i="16"/>
  <c r="I7" i="16" s="1"/>
  <c r="A10" i="16"/>
  <c r="B10" i="16"/>
  <c r="C10" i="16"/>
  <c r="E10" i="16"/>
  <c r="I10" i="16" s="1"/>
  <c r="A8" i="16"/>
  <c r="B8" i="16"/>
  <c r="C8" i="16"/>
  <c r="E8" i="16"/>
  <c r="I8" i="16" s="1"/>
  <c r="A12" i="16"/>
  <c r="B12" i="16"/>
  <c r="C12" i="16"/>
  <c r="E12" i="16"/>
  <c r="I12" i="16" s="1"/>
  <c r="A11" i="16"/>
  <c r="B11" i="16"/>
  <c r="C11" i="16"/>
  <c r="E11" i="16"/>
  <c r="I11" i="16" s="1"/>
  <c r="A13" i="16"/>
  <c r="B13" i="16"/>
  <c r="C13" i="16"/>
  <c r="E13" i="16"/>
  <c r="I13" i="16" s="1"/>
  <c r="A14" i="16"/>
  <c r="B14" i="16"/>
  <c r="C14" i="16"/>
  <c r="E14" i="16"/>
  <c r="I14" i="16" s="1"/>
  <c r="A15" i="16"/>
  <c r="B15" i="16"/>
  <c r="C15" i="16"/>
  <c r="E15" i="16"/>
  <c r="I15" i="16" s="1"/>
  <c r="A17" i="16"/>
  <c r="B17" i="16"/>
  <c r="C17" i="16"/>
  <c r="E17" i="16"/>
  <c r="I17" i="16" s="1"/>
  <c r="A16" i="16"/>
  <c r="B16" i="16"/>
  <c r="C16" i="16"/>
  <c r="E16" i="16"/>
  <c r="I16" i="16" s="1"/>
  <c r="A18" i="16"/>
  <c r="B18" i="16"/>
  <c r="C18" i="16"/>
  <c r="E18" i="16"/>
  <c r="I18" i="16" s="1"/>
  <c r="A23" i="16"/>
  <c r="B23" i="16"/>
  <c r="C23" i="16"/>
  <c r="E23" i="16"/>
  <c r="I23" i="16" s="1"/>
  <c r="A19" i="16"/>
  <c r="B19" i="16"/>
  <c r="C19" i="16"/>
  <c r="E19" i="16"/>
  <c r="I19" i="16" s="1"/>
  <c r="A20" i="16"/>
  <c r="B20" i="16"/>
  <c r="C20" i="16"/>
  <c r="E20" i="16"/>
  <c r="I20" i="16" s="1"/>
  <c r="A21" i="16"/>
  <c r="B21" i="16"/>
  <c r="C21" i="16"/>
  <c r="E21" i="16"/>
  <c r="I21" i="16" s="1"/>
  <c r="A22" i="16"/>
  <c r="B22" i="16"/>
  <c r="C22" i="16"/>
  <c r="E22" i="16"/>
  <c r="I22" i="16" s="1"/>
  <c r="A29" i="16"/>
  <c r="B29" i="16"/>
  <c r="C29" i="16"/>
  <c r="E29" i="16"/>
  <c r="I29" i="16" s="1"/>
  <c r="A30" i="16"/>
  <c r="B30" i="16"/>
  <c r="C30" i="16"/>
  <c r="E30" i="16"/>
  <c r="I30" i="16" s="1"/>
  <c r="A28" i="16"/>
  <c r="B28" i="16"/>
  <c r="C28" i="16"/>
  <c r="E28" i="16"/>
  <c r="I28" i="16" s="1"/>
  <c r="A31" i="16"/>
  <c r="B31" i="16"/>
  <c r="C31" i="16"/>
  <c r="E31" i="16"/>
  <c r="I31" i="16" s="1"/>
  <c r="A35" i="16"/>
  <c r="B35" i="16"/>
  <c r="C35" i="16"/>
  <c r="E35" i="16"/>
  <c r="I35" i="16" s="1"/>
  <c r="A32" i="16"/>
  <c r="B32" i="16"/>
  <c r="C32" i="16"/>
  <c r="E32" i="16"/>
  <c r="I32" i="16" s="1"/>
  <c r="A34" i="16"/>
  <c r="B34" i="16"/>
  <c r="C34" i="16"/>
  <c r="E34" i="16"/>
  <c r="I34" i="16" s="1"/>
  <c r="A33" i="16"/>
  <c r="B33" i="16"/>
  <c r="C33" i="16"/>
  <c r="E33" i="16"/>
  <c r="I33" i="16" s="1"/>
  <c r="E3" i="16"/>
  <c r="I3" i="16" s="1"/>
  <c r="C3" i="16"/>
  <c r="B3" i="16"/>
  <c r="A3" i="16"/>
  <c r="E4" i="13"/>
  <c r="G4" i="13" s="1"/>
  <c r="E5" i="13"/>
  <c r="G5" i="13" s="1"/>
  <c r="E6" i="13"/>
  <c r="G6" i="13" s="1"/>
  <c r="E7" i="13"/>
  <c r="G7" i="13" s="1"/>
  <c r="E8" i="13"/>
  <c r="G8" i="13" s="1"/>
  <c r="E9" i="13"/>
  <c r="G9" i="13" s="1"/>
  <c r="E10" i="13"/>
  <c r="G10" i="13" s="1"/>
  <c r="E11" i="13"/>
  <c r="G11" i="13" s="1"/>
  <c r="E12" i="13"/>
  <c r="G12" i="13" s="1"/>
  <c r="E13" i="13"/>
  <c r="G13" i="13" s="1"/>
  <c r="E14" i="13"/>
  <c r="G14" i="13" s="1"/>
  <c r="E15" i="13"/>
  <c r="G15" i="13" s="1"/>
  <c r="E16" i="13"/>
  <c r="G16" i="13" s="1"/>
  <c r="E17" i="13"/>
  <c r="G17" i="13" s="1"/>
  <c r="E18" i="13"/>
  <c r="G18" i="13" s="1"/>
  <c r="E19" i="13"/>
  <c r="G19" i="13" s="1"/>
  <c r="E3" i="13"/>
  <c r="G3" i="13" s="1"/>
  <c r="G5" i="20" l="1"/>
  <c r="H5" i="20" s="1"/>
  <c r="G6" i="20"/>
  <c r="H6" i="20" s="1"/>
  <c r="G7" i="20"/>
  <c r="H7" i="20" s="1"/>
  <c r="G8" i="20"/>
  <c r="H8" i="20" s="1"/>
  <c r="G9" i="20"/>
  <c r="H9" i="20" s="1"/>
  <c r="G10" i="20"/>
  <c r="H10" i="20" s="1"/>
  <c r="G11" i="20"/>
  <c r="H11" i="20" s="1"/>
  <c r="H11" i="19"/>
  <c r="H7" i="19"/>
  <c r="I9" i="19"/>
  <c r="J9" i="19" s="1"/>
  <c r="H4" i="19"/>
  <c r="I8" i="19"/>
  <c r="I11" i="19"/>
  <c r="J11" i="19" s="1"/>
  <c r="D11" i="19"/>
  <c r="D8" i="19"/>
  <c r="D5" i="19"/>
  <c r="H8" i="19"/>
  <c r="D7" i="19"/>
  <c r="G3" i="19"/>
  <c r="H3" i="19" s="1"/>
  <c r="D10" i="19"/>
  <c r="H19" i="18"/>
  <c r="H10" i="18"/>
  <c r="H7" i="18"/>
  <c r="H17" i="18"/>
  <c r="H11" i="18"/>
  <c r="H15" i="18"/>
  <c r="H20" i="18"/>
  <c r="H23" i="18"/>
  <c r="H16" i="18"/>
  <c r="H4" i="18"/>
  <c r="H5" i="18"/>
  <c r="G16" i="18"/>
  <c r="G9" i="18"/>
  <c r="H9" i="18" s="1"/>
  <c r="G17" i="18"/>
  <c r="G10" i="18"/>
  <c r="G18" i="18"/>
  <c r="H18" i="18" s="1"/>
  <c r="G3" i="18"/>
  <c r="H3" i="18" s="1"/>
  <c r="G11" i="18"/>
  <c r="G19" i="18"/>
  <c r="G4" i="18"/>
  <c r="G12" i="18"/>
  <c r="H12" i="18" s="1"/>
  <c r="G20" i="18"/>
  <c r="G5" i="18"/>
  <c r="G13" i="18"/>
  <c r="H13" i="18" s="1"/>
  <c r="G21" i="18"/>
  <c r="H21" i="18" s="1"/>
  <c r="G6" i="18"/>
  <c r="H6" i="18" s="1"/>
  <c r="G14" i="18"/>
  <c r="H14" i="18" s="1"/>
  <c r="G22" i="18"/>
  <c r="H22" i="18" s="1"/>
  <c r="G7" i="18"/>
  <c r="G15" i="18"/>
  <c r="G23" i="18"/>
  <c r="H16" i="17"/>
  <c r="H15" i="17"/>
  <c r="H3" i="17"/>
  <c r="H18" i="17"/>
  <c r="H19" i="17"/>
  <c r="H20" i="17"/>
  <c r="H10" i="17"/>
  <c r="H11" i="17"/>
  <c r="J20" i="17"/>
  <c r="G10" i="17"/>
  <c r="G18" i="17"/>
  <c r="D10" i="17"/>
  <c r="G3" i="17"/>
  <c r="G11" i="17"/>
  <c r="G19" i="17"/>
  <c r="G4" i="17"/>
  <c r="H4" i="17" s="1"/>
  <c r="G12" i="17"/>
  <c r="H12" i="17" s="1"/>
  <c r="G20" i="17"/>
  <c r="G5" i="17"/>
  <c r="H5" i="17" s="1"/>
  <c r="G13" i="17"/>
  <c r="H13" i="17" s="1"/>
  <c r="G21" i="17"/>
  <c r="H21" i="17"/>
  <c r="G6" i="17"/>
  <c r="H6" i="17" s="1"/>
  <c r="G14" i="17"/>
  <c r="H14" i="17" s="1"/>
  <c r="G22" i="17"/>
  <c r="H22" i="17" s="1"/>
  <c r="D4" i="17"/>
  <c r="D13" i="17"/>
  <c r="G7" i="17"/>
  <c r="H7" i="17" s="1"/>
  <c r="G15" i="17"/>
  <c r="G23" i="17"/>
  <c r="H23" i="17" s="1"/>
  <c r="G8" i="17"/>
  <c r="H8" i="17" s="1"/>
  <c r="G16" i="17"/>
  <c r="D40" i="16"/>
  <c r="H38" i="16"/>
  <c r="G22" i="16"/>
  <c r="H22" i="16" s="1"/>
  <c r="G21" i="16"/>
  <c r="H21" i="16" s="1"/>
  <c r="G6" i="16"/>
  <c r="H6" i="16" s="1"/>
  <c r="G5" i="16"/>
  <c r="H5" i="16" s="1"/>
  <c r="H28" i="16"/>
  <c r="H11" i="16"/>
  <c r="H29" i="16"/>
  <c r="H12" i="16"/>
  <c r="H24" i="16"/>
  <c r="D39" i="16"/>
  <c r="G35" i="16"/>
  <c r="H35" i="16" s="1"/>
  <c r="G19" i="16"/>
  <c r="H19" i="16" s="1"/>
  <c r="G34" i="16"/>
  <c r="H34" i="16" s="1"/>
  <c r="G18" i="16"/>
  <c r="H18" i="16" s="1"/>
  <c r="G33" i="16"/>
  <c r="H33" i="16" s="1"/>
  <c r="G17" i="16"/>
  <c r="H17" i="16" s="1"/>
  <c r="G32" i="16"/>
  <c r="H32" i="16" s="1"/>
  <c r="G16" i="16"/>
  <c r="H16" i="16" s="1"/>
  <c r="G31" i="16"/>
  <c r="H31" i="16" s="1"/>
  <c r="G15" i="16"/>
  <c r="H15" i="16" s="1"/>
  <c r="G30" i="16"/>
  <c r="H30" i="16" s="1"/>
  <c r="G14" i="16"/>
  <c r="H14" i="16" s="1"/>
  <c r="D36" i="16"/>
  <c r="G29" i="16"/>
  <c r="G13" i="16"/>
  <c r="H13" i="16" s="1"/>
  <c r="G28" i="16"/>
  <c r="G12" i="16"/>
  <c r="G27" i="16"/>
  <c r="H27" i="16" s="1"/>
  <c r="G11" i="16"/>
  <c r="G26" i="16"/>
  <c r="H26" i="16" s="1"/>
  <c r="G10" i="16"/>
  <c r="H10" i="16" s="1"/>
  <c r="G3" i="16"/>
  <c r="H3" i="16" s="1"/>
  <c r="G25" i="16"/>
  <c r="H25" i="16" s="1"/>
  <c r="G9" i="16"/>
  <c r="H9" i="16" s="1"/>
  <c r="G40" i="16"/>
  <c r="H40" i="16" s="1"/>
  <c r="G24" i="16"/>
  <c r="G8" i="16"/>
  <c r="H8" i="16" s="1"/>
  <c r="G23" i="16"/>
  <c r="H23" i="16" s="1"/>
  <c r="G7" i="16"/>
  <c r="H7" i="16" s="1"/>
  <c r="G37" i="16"/>
  <c r="H37" i="16" s="1"/>
  <c r="G36" i="16"/>
  <c r="H36" i="16" s="1"/>
  <c r="G20" i="16"/>
  <c r="H20" i="16" s="1"/>
  <c r="G4" i="16"/>
  <c r="H4" i="16" s="1"/>
  <c r="J24" i="20"/>
  <c r="D57" i="20"/>
  <c r="J4" i="19"/>
  <c r="J8" i="19"/>
  <c r="J57" i="20"/>
  <c r="D24" i="20"/>
  <c r="J78" i="20"/>
  <c r="D78" i="20"/>
  <c r="J26" i="20"/>
  <c r="K1" i="20" a="1"/>
  <c r="K1" i="20" s="1"/>
  <c r="D5" i="7" s="1" a="1"/>
  <c r="D5" i="7" s="1"/>
  <c r="D20" i="20"/>
  <c r="D91" i="20"/>
  <c r="D16" i="20"/>
  <c r="D89" i="20"/>
  <c r="D90" i="20"/>
  <c r="D86" i="20"/>
  <c r="D26" i="20"/>
  <c r="J17" i="20"/>
  <c r="J20" i="20"/>
  <c r="J86" i="20"/>
  <c r="D92" i="20"/>
  <c r="D25" i="20"/>
  <c r="D56" i="20"/>
  <c r="D17" i="20"/>
  <c r="D23" i="17"/>
  <c r="J23" i="17"/>
  <c r="J26" i="16"/>
  <c r="D37" i="16"/>
  <c r="J36" i="16"/>
  <c r="D7" i="18"/>
  <c r="D6" i="18"/>
  <c r="J19" i="18"/>
  <c r="D14" i="18"/>
  <c r="D10" i="18"/>
  <c r="D20" i="18"/>
  <c r="D23" i="18"/>
  <c r="D8" i="18"/>
  <c r="D17" i="18"/>
  <c r="D11" i="18"/>
  <c r="D22" i="18"/>
  <c r="J21" i="18"/>
  <c r="D4" i="18"/>
  <c r="D5" i="18"/>
  <c r="D21" i="18"/>
  <c r="J92" i="20"/>
  <c r="J91" i="20"/>
  <c r="J22" i="18"/>
  <c r="J20" i="18"/>
  <c r="D19" i="18"/>
  <c r="D16" i="18"/>
  <c r="J7" i="18"/>
  <c r="D13" i="18"/>
  <c r="D18" i="18"/>
  <c r="D15" i="18"/>
  <c r="D12" i="18"/>
  <c r="D9" i="18"/>
  <c r="J56" i="20"/>
  <c r="J90" i="20"/>
  <c r="D22" i="17"/>
  <c r="J22" i="17"/>
  <c r="J21" i="17"/>
  <c r="J89" i="20"/>
  <c r="J37" i="16"/>
  <c r="J25" i="20"/>
  <c r="J27" i="16"/>
  <c r="J16" i="20"/>
  <c r="J19" i="20"/>
  <c r="D19" i="20"/>
  <c r="D25" i="16"/>
  <c r="D27" i="16"/>
  <c r="J25" i="16"/>
  <c r="D26" i="16"/>
  <c r="D24" i="16"/>
  <c r="J24" i="16"/>
  <c r="J10" i="19"/>
  <c r="J16" i="18"/>
  <c r="J6" i="19"/>
  <c r="J48" i="20"/>
  <c r="D40" i="20"/>
  <c r="D63" i="20"/>
  <c r="J74" i="20"/>
  <c r="D87" i="20"/>
  <c r="D77" i="20"/>
  <c r="D51" i="20"/>
  <c r="D52" i="20"/>
  <c r="D109" i="20"/>
  <c r="D41" i="20"/>
  <c r="D58" i="20"/>
  <c r="D11" i="20"/>
  <c r="J68" i="20"/>
  <c r="J63" i="20"/>
  <c r="D67" i="20"/>
  <c r="D105" i="20"/>
  <c r="D14" i="20"/>
  <c r="D59" i="20"/>
  <c r="D72" i="20"/>
  <c r="D53" i="20"/>
  <c r="J14" i="20"/>
  <c r="D62" i="20"/>
  <c r="D64" i="20"/>
  <c r="J109" i="20"/>
  <c r="J30" i="20"/>
  <c r="J82" i="20"/>
  <c r="D9" i="20"/>
  <c r="J58" i="20"/>
  <c r="D107" i="20"/>
  <c r="J101" i="20"/>
  <c r="J99" i="20"/>
  <c r="D33" i="20"/>
  <c r="D79" i="20"/>
  <c r="D68" i="20"/>
  <c r="D66" i="20"/>
  <c r="D22" i="20"/>
  <c r="J80" i="20"/>
  <c r="J32" i="20"/>
  <c r="D84" i="20"/>
  <c r="J102" i="20"/>
  <c r="J21" i="20"/>
  <c r="D44" i="20"/>
  <c r="D65" i="20"/>
  <c r="J9" i="20"/>
  <c r="D35" i="20"/>
  <c r="J72" i="20"/>
  <c r="J53" i="20"/>
  <c r="J39" i="20"/>
  <c r="J43" i="20"/>
  <c r="J81" i="20"/>
  <c r="D6" i="20"/>
  <c r="D31" i="20"/>
  <c r="D97" i="20"/>
  <c r="D70" i="20"/>
  <c r="D46" i="20"/>
  <c r="D13" i="20"/>
  <c r="J38" i="20"/>
  <c r="D88" i="20"/>
  <c r="J6" i="20"/>
  <c r="J83" i="20"/>
  <c r="J13" i="20"/>
  <c r="J75" i="20"/>
  <c r="D32" i="20"/>
  <c r="D106" i="20"/>
  <c r="J33" i="20"/>
  <c r="D48" i="20"/>
  <c r="D80" i="20"/>
  <c r="D45" i="20"/>
  <c r="J27" i="20"/>
  <c r="D95" i="20"/>
  <c r="J106" i="20"/>
  <c r="D21" i="20"/>
  <c r="D36" i="20"/>
  <c r="D61" i="20"/>
  <c r="D104" i="20"/>
  <c r="D5" i="20"/>
  <c r="D29" i="20"/>
  <c r="J61" i="20"/>
  <c r="J11" i="20"/>
  <c r="D85" i="20"/>
  <c r="J69" i="20"/>
  <c r="D12" i="20"/>
  <c r="J29" i="20"/>
  <c r="J62" i="20"/>
  <c r="D50" i="20"/>
  <c r="J59" i="20"/>
  <c r="D94" i="20"/>
  <c r="J12" i="20"/>
  <c r="J44" i="20"/>
  <c r="J67" i="20"/>
  <c r="J105" i="20"/>
  <c r="D4" i="20"/>
  <c r="J31" i="20"/>
  <c r="D108" i="20"/>
  <c r="D82" i="20"/>
  <c r="J79" i="20"/>
  <c r="J54" i="20"/>
  <c r="J45" i="20"/>
  <c r="D38" i="20"/>
  <c r="D37" i="20"/>
  <c r="D93" i="20"/>
  <c r="J103" i="20"/>
  <c r="D73" i="20"/>
  <c r="D39" i="20"/>
  <c r="D47" i="20"/>
  <c r="J93" i="20"/>
  <c r="J40" i="20"/>
  <c r="D27" i="20"/>
  <c r="J28" i="20"/>
  <c r="D55" i="20"/>
  <c r="J47" i="20"/>
  <c r="J51" i="20"/>
  <c r="J37" i="20"/>
  <c r="D99" i="20"/>
  <c r="J5" i="20"/>
  <c r="D83" i="20"/>
  <c r="J55" i="20"/>
  <c r="J52" i="20"/>
  <c r="D42" i="20"/>
  <c r="J88" i="20"/>
  <c r="J18" i="20"/>
  <c r="J98" i="20"/>
  <c r="J42" i="20"/>
  <c r="J50" i="20"/>
  <c r="D23" i="20"/>
  <c r="J64" i="20"/>
  <c r="J34" i="20"/>
  <c r="J94" i="20"/>
  <c r="J22" i="20"/>
  <c r="J107" i="20"/>
  <c r="J10" i="20"/>
  <c r="D100" i="20"/>
  <c r="D7" i="20"/>
  <c r="J8" i="20"/>
  <c r="D101" i="20"/>
  <c r="D96" i="20"/>
  <c r="D75" i="20"/>
  <c r="J7" i="20"/>
  <c r="D30" i="20"/>
  <c r="J60" i="20"/>
  <c r="D74" i="20"/>
  <c r="J41" i="20"/>
  <c r="D43" i="20"/>
  <c r="J97" i="20"/>
  <c r="D71" i="20"/>
  <c r="D76" i="20"/>
  <c r="J87" i="20"/>
  <c r="J15" i="20"/>
  <c r="D102" i="20"/>
  <c r="D49" i="20"/>
  <c r="J71" i="20"/>
  <c r="J76" i="20"/>
  <c r="J104" i="20"/>
  <c r="J95" i="20"/>
  <c r="D81" i="20"/>
  <c r="J96" i="20"/>
  <c r="D10" i="20"/>
  <c r="D15" i="20"/>
  <c r="J46" i="20"/>
  <c r="J23" i="20"/>
  <c r="J77" i="20"/>
  <c r="J70" i="20"/>
  <c r="J73" i="20"/>
  <c r="J66" i="20"/>
  <c r="D69" i="20"/>
  <c r="D98" i="20"/>
  <c r="D54" i="20"/>
  <c r="J35" i="20"/>
  <c r="J36" i="20"/>
  <c r="D18" i="20"/>
  <c r="D60" i="20"/>
  <c r="D103" i="20"/>
  <c r="D8" i="20"/>
  <c r="J65" i="20"/>
  <c r="J100" i="20"/>
  <c r="J84" i="20"/>
  <c r="J85" i="20"/>
  <c r="J4" i="20"/>
  <c r="J108" i="20"/>
  <c r="D28" i="20"/>
  <c r="D34" i="20"/>
  <c r="J49" i="20"/>
  <c r="J30" i="16"/>
  <c r="J35" i="16"/>
  <c r="J31" i="16"/>
  <c r="J12" i="16"/>
  <c r="J19" i="16"/>
  <c r="J13" i="16"/>
  <c r="J34" i="16"/>
  <c r="J22" i="16"/>
  <c r="J28" i="16"/>
  <c r="J32" i="16"/>
  <c r="J3" i="16"/>
  <c r="J21" i="16"/>
  <c r="J33" i="16"/>
  <c r="J29" i="16"/>
  <c r="J20" i="16"/>
  <c r="J7" i="16"/>
  <c r="J7" i="19"/>
  <c r="D3" i="19"/>
  <c r="J3" i="19"/>
  <c r="J14" i="18"/>
  <c r="J23" i="18"/>
  <c r="J17" i="18"/>
  <c r="J15" i="18"/>
  <c r="J10" i="18"/>
  <c r="J5" i="18"/>
  <c r="J6" i="18"/>
  <c r="J18" i="18"/>
  <c r="J9" i="18"/>
  <c r="J8" i="18"/>
  <c r="J4" i="18"/>
  <c r="J13" i="18"/>
  <c r="J11" i="18"/>
  <c r="J12" i="18"/>
  <c r="D3" i="18"/>
  <c r="J3" i="18"/>
  <c r="J6" i="16"/>
  <c r="J5" i="16"/>
  <c r="J10" i="16"/>
  <c r="D34" i="16"/>
  <c r="J14" i="16"/>
  <c r="J15" i="17"/>
  <c r="D20" i="17"/>
  <c r="J7" i="17"/>
  <c r="J11" i="17"/>
  <c r="D5" i="17"/>
  <c r="D3" i="17"/>
  <c r="D6" i="17"/>
  <c r="D7" i="17"/>
  <c r="D16" i="17"/>
  <c r="J5" i="17"/>
  <c r="J3" i="17"/>
  <c r="J10" i="17"/>
  <c r="J19" i="17"/>
  <c r="J14" i="17"/>
  <c r="J9" i="17"/>
  <c r="D8" i="17"/>
  <c r="D17" i="17"/>
  <c r="D14" i="17"/>
  <c r="D9" i="17"/>
  <c r="D15" i="17"/>
  <c r="D12" i="17"/>
  <c r="D19" i="17"/>
  <c r="J16" i="17"/>
  <c r="J18" i="17"/>
  <c r="D18" i="17"/>
  <c r="J16" i="16"/>
  <c r="J11" i="16"/>
  <c r="J15" i="16"/>
  <c r="J4" i="16"/>
  <c r="J9" i="16"/>
  <c r="J18" i="16"/>
  <c r="J8" i="16"/>
  <c r="J17" i="16"/>
  <c r="J23" i="16"/>
  <c r="D22" i="16"/>
  <c r="D17" i="16"/>
  <c r="D28" i="16"/>
  <c r="D11" i="16"/>
  <c r="D29" i="16"/>
  <c r="D7" i="16"/>
  <c r="D21" i="16"/>
  <c r="D5" i="16"/>
  <c r="D6" i="16"/>
  <c r="D12" i="16"/>
  <c r="D16" i="16"/>
  <c r="D14" i="16"/>
  <c r="D10" i="16"/>
  <c r="D33" i="16"/>
  <c r="D18" i="16"/>
  <c r="D15" i="16"/>
  <c r="D20" i="16"/>
  <c r="D31" i="16"/>
  <c r="D19" i="16"/>
  <c r="D32" i="16"/>
  <c r="D8" i="16"/>
  <c r="D9" i="16"/>
  <c r="D4" i="16"/>
  <c r="D35" i="16"/>
  <c r="D30" i="16"/>
  <c r="D23" i="16"/>
  <c r="D13" i="16"/>
  <c r="D3" i="16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I19" i="13"/>
  <c r="A19" i="13"/>
  <c r="B19" i="13"/>
  <c r="H19" i="13" s="1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3" i="13"/>
  <c r="A18" i="13"/>
  <c r="B18" i="13"/>
  <c r="H18" i="13" s="1"/>
  <c r="A17" i="13"/>
  <c r="B17" i="13"/>
  <c r="H17" i="13" s="1"/>
  <c r="A16" i="13"/>
  <c r="B16" i="13"/>
  <c r="H16" i="13" s="1"/>
  <c r="A15" i="13"/>
  <c r="B15" i="13"/>
  <c r="H15" i="13" s="1"/>
  <c r="A14" i="13"/>
  <c r="B14" i="13"/>
  <c r="H14" i="13" s="1"/>
  <c r="A13" i="13"/>
  <c r="B13" i="13"/>
  <c r="H13" i="13" s="1"/>
  <c r="A12" i="13"/>
  <c r="B12" i="13"/>
  <c r="H12" i="13" s="1"/>
  <c r="A4" i="13"/>
  <c r="A5" i="13"/>
  <c r="A6" i="13"/>
  <c r="A7" i="13"/>
  <c r="A8" i="13"/>
  <c r="A9" i="13"/>
  <c r="A10" i="13"/>
  <c r="A11" i="13"/>
  <c r="A3" i="13"/>
  <c r="B4" i="13"/>
  <c r="H4" i="13" s="1"/>
  <c r="B5" i="13"/>
  <c r="H5" i="13" s="1"/>
  <c r="B6" i="13"/>
  <c r="H6" i="13" s="1"/>
  <c r="B7" i="13"/>
  <c r="H7" i="13" s="1"/>
  <c r="B8" i="13"/>
  <c r="H8" i="13" s="1"/>
  <c r="B9" i="13"/>
  <c r="H9" i="13" s="1"/>
  <c r="B10" i="13"/>
  <c r="H10" i="13" s="1"/>
  <c r="B11" i="13"/>
  <c r="H11" i="13" s="1"/>
  <c r="B3" i="13"/>
  <c r="H3" i="13" s="1"/>
  <c r="D11" i="7" l="1" a="1"/>
  <c r="D11" i="7" s="1"/>
  <c r="D9" i="7" a="1"/>
  <c r="D9" i="7" s="1"/>
  <c r="D3" i="7" a="1"/>
  <c r="D3" i="7" s="1"/>
  <c r="D2" i="7" a="1"/>
  <c r="D2" i="7" s="1"/>
  <c r="D8" i="7" a="1"/>
  <c r="D8" i="7" s="1"/>
  <c r="D4" i="7" a="1"/>
  <c r="D4" i="7" s="1"/>
  <c r="D7" i="7" a="1"/>
  <c r="D7" i="7" s="1"/>
  <c r="D6" i="7" a="1"/>
  <c r="D6" i="7" s="1"/>
  <c r="D10" i="7" a="1"/>
  <c r="D10" i="7" s="1"/>
  <c r="A21" i="22" a="1"/>
  <c r="A33" i="22" a="1"/>
  <c r="A10" i="22" a="1"/>
  <c r="A32" i="22" a="1"/>
  <c r="A15" i="22" a="1"/>
  <c r="A6" i="22" a="1"/>
  <c r="A31" i="22" a="1"/>
  <c r="A13" i="22" a="1"/>
  <c r="A30" i="22" a="1"/>
  <c r="A14" i="22" a="1"/>
  <c r="A29" i="22" a="1"/>
  <c r="A17" i="22" a="1"/>
  <c r="A28" i="22" a="1"/>
  <c r="A4" i="22" a="1"/>
  <c r="A27" i="22" a="1"/>
  <c r="A19" i="22" a="1"/>
  <c r="A26" i="22" a="1"/>
  <c r="A16" i="22" a="1"/>
  <c r="A12" i="22" a="1"/>
  <c r="A5" i="22" a="1"/>
  <c r="A24" i="22" a="1"/>
  <c r="A7" i="22" a="1"/>
  <c r="A23" i="22" a="1"/>
  <c r="A9" i="22" a="1"/>
  <c r="A22" i="22" a="1"/>
  <c r="A18" i="22" a="1"/>
  <c r="A25" i="22" a="1"/>
  <c r="A11" i="22" a="1"/>
  <c r="A20" i="22" a="1"/>
  <c r="A8" i="22" a="1"/>
  <c r="J7" i="13"/>
  <c r="D5" i="13"/>
  <c r="J16" i="13"/>
  <c r="J9" i="13"/>
  <c r="J3" i="13"/>
  <c r="J19" i="13"/>
  <c r="J4" i="13"/>
  <c r="J10" i="13"/>
  <c r="J11" i="13"/>
  <c r="J12" i="13"/>
  <c r="J17" i="13"/>
  <c r="J18" i="13"/>
  <c r="J5" i="13"/>
  <c r="J6" i="13"/>
  <c r="J8" i="13"/>
  <c r="J13" i="13"/>
  <c r="J14" i="13"/>
  <c r="J15" i="13"/>
  <c r="D6" i="13"/>
  <c r="D19" i="13"/>
  <c r="D13" i="13"/>
  <c r="D12" i="13"/>
  <c r="D18" i="13"/>
  <c r="D14" i="13"/>
  <c r="D11" i="13"/>
  <c r="D15" i="13"/>
  <c r="D7" i="13"/>
  <c r="D16" i="13"/>
  <c r="D17" i="13"/>
  <c r="D4" i="13"/>
  <c r="D8" i="13"/>
  <c r="D3" i="13"/>
  <c r="D10" i="13"/>
  <c r="D9" i="13"/>
  <c r="A27" i="22" l="1"/>
  <c r="L27" i="22"/>
  <c r="A8" i="22"/>
  <c r="L8" i="22"/>
  <c r="A4" i="22"/>
  <c r="L4" i="22"/>
  <c r="A20" i="22"/>
  <c r="L20" i="22"/>
  <c r="A28" i="22"/>
  <c r="L28" i="22"/>
  <c r="A11" i="22"/>
  <c r="L11" i="22"/>
  <c r="A17" i="22"/>
  <c r="L17" i="22"/>
  <c r="A25" i="22"/>
  <c r="L25" i="22"/>
  <c r="A29" i="22"/>
  <c r="L29" i="22"/>
  <c r="A12" i="22"/>
  <c r="L12" i="22"/>
  <c r="A18" i="22"/>
  <c r="L18" i="22"/>
  <c r="A14" i="22"/>
  <c r="L14" i="22"/>
  <c r="A22" i="22"/>
  <c r="L22" i="22"/>
  <c r="A30" i="22"/>
  <c r="L30" i="22"/>
  <c r="A9" i="22"/>
  <c r="L9" i="22"/>
  <c r="A13" i="22"/>
  <c r="L13" i="22"/>
  <c r="A23" i="22"/>
  <c r="L23" i="22"/>
  <c r="A31" i="22"/>
  <c r="L31" i="22"/>
  <c r="A7" i="22"/>
  <c r="L7" i="22"/>
  <c r="A6" i="22"/>
  <c r="L6" i="22"/>
  <c r="A24" i="22"/>
  <c r="L24" i="22"/>
  <c r="A15" i="22"/>
  <c r="L15" i="22"/>
  <c r="A5" i="22"/>
  <c r="L5" i="22"/>
  <c r="A32" i="22"/>
  <c r="L32" i="22"/>
  <c r="A10" i="22"/>
  <c r="L10" i="22"/>
  <c r="A16" i="22"/>
  <c r="L16" i="22"/>
  <c r="A33" i="22"/>
  <c r="L33" i="22"/>
  <c r="A21" i="22"/>
  <c r="L21" i="22"/>
  <c r="A26" i="22"/>
  <c r="L26" i="22"/>
  <c r="A19" i="22"/>
  <c r="L19" i="2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<sst xmlns="http://schemas.openxmlformats.org/spreadsheetml/2006/main" count="682" uniqueCount="171">
  <si>
    <t>Data Sets</t>
  </si>
  <si>
    <t>Baseline Accuracy</t>
  </si>
  <si>
    <t>Missing Methods</t>
  </si>
  <si>
    <t>DIAtemp</t>
  </si>
  <si>
    <t>DIAwind</t>
  </si>
  <si>
    <t>Dickens</t>
  </si>
  <si>
    <t>Hawaiian</t>
  </si>
  <si>
    <t>heart1</t>
  </si>
  <si>
    <t>heart2</t>
  </si>
  <si>
    <t>nonuniform</t>
  </si>
  <si>
    <t>selfadapt</t>
  </si>
  <si>
    <t>solarWind</t>
  </si>
  <si>
    <t>uniform</t>
  </si>
  <si>
    <t>LSTM_Multichannel</t>
  </si>
  <si>
    <t>Total Penalty Bits</t>
  </si>
  <si>
    <t>Bits per Symbol</t>
  </si>
  <si>
    <t>Correctly predicted</t>
  </si>
  <si>
    <t>Bit Penalty per Fraction Correctly Predicted</t>
  </si>
  <si>
    <t>Sequence</t>
  </si>
  <si>
    <t>Method</t>
  </si>
  <si>
    <t>Above Baseline?</t>
  </si>
  <si>
    <t>Full Report Text</t>
  </si>
  <si>
    <t>LSTM Layer Height</t>
  </si>
  <si>
    <t>Epochs</t>
  </si>
  <si>
    <t>Training Sequence Length</t>
  </si>
  <si>
    <t>Symbol Machine processed 952 out of 952 symbols in sequence_solarWind_test.mat.
Total penalty: 843.073 bits (0.8856 bits per symbol).
Correctly predicted 85.609% of symbols.
4495 probabilities forecasted between 0% and 1%; actual occurrence rate 0.27%.
1752 probabilities forecasted between 1% and 5%; actual occurrence rate 1.66%.
614 probabilities forecasted between 5% and 10%; actual occurrence rate 3.09%.
547 probabilities forecasted between 10% and 20%; actual occurrence rate 5.30%.
115 probabilities forecasted between 20% and 30%; actual occurrence rate 15.65%.
80 probabilities forecasted between 30% and 40%; actual occurrence rate 37.50%.
132 probabilities forecasted between 40% and 50%; actual occurrence rate 63.64%.
73 probabilities forecasted between 50% and 60%; actual occurrence rate 68.49%.
80 probabilities forecasted between 60% and 70%; actual occurrence rate 86.25%.
159 probabilities forecasted between 70% and 80%; actual occurrence rate 81.76%.
396 probabilities forecasted between 80% and 90%; actual occurrence rate 91.92%.
125 probabilities forecasted between 90% and 100%; actual occurrence rate 94.40%.</t>
  </si>
  <si>
    <t>Symbol Machine processed 952 out of 952 symbols in sequence_solarWind_test.mat.
Total penalty: 1004.174 bits (1.0548 bits per symbol).
Correctly predicted 83.508% of symbols.
3932 probabilities forecasted between 0% and 1%; actual occurrence rate 0.38%.
1926 probabilities forecasted between 1% and 5%; actual occurrence rate 1.45%.
796 probabilities forecasted between 5% and 10%; actual occurrence rate 3.02%.
703 probabilities forecasted between 10% and 20%; actual occurrence rate 4.55%.
177 probabilities forecasted between 20% and 30%; actual occurrence rate 18.08%.
122 probabilities forecasted between 30% and 40%; actual occurrence rate 47.54%.
150 probabilities forecasted between 40% and 50%; actual occurrence rate 58.67%.
62 probabilities forecasted between 50% and 60%; actual occurrence rate 79.03%.
115 probabilities forecasted between 60% and 70%; actual occurrence rate 83.48%.
224 probabilities forecasted between 70% and 80%; actual occurrence rate 88.84%.
345 probabilities forecasted between 80% and 90%; actual occurrence rate 91.59%.
16 probabilities forecasted between 90% and 100%; actual occurrence rate 93.75%.</t>
  </si>
  <si>
    <t>Symbol Machine processed 900 out of 900 symbols in sequence_heart2_test.mat.
Total penalty: 966.123 bits (1.0735 bits per symbol).
Correctly predicted 81.556% of symbols.
4090 probabilities forecasted between 0% and 1%; actual occurrence rate 0.39%.
1804 probabilities forecasted between 1% and 5%; actual occurrence rate 1.27%.
555 probabilities forecasted between 5% and 10%; actual occurrence rate 5.95%.
504 probabilities forecasted between 10% and 20%; actual occurrence rate 10.52%.
178 probabilities forecasted between 20% and 30%; actual occurrence rate 15.17%.
73 probabilities forecasted between 30% and 40%; actual occurrence rate 23.29%.
17 probabilities forecasted between 40% and 50%; actual occurrence rate 58.82%.
125 probabilities forecasted between 50% and 60%; actual occurrence rate 65.60%.
164 probabilities forecasted between 60% and 70%; actual occurrence rate 81.10%.
232 probabilities forecasted between 70% and 80%; actual occurrence rate 79.31%.
280 probabilities forecasted between 80% and 90%; actual occurrence rate 88.93%.
78 probabilities forecasted between 90% and 100%; actual occurrence rate 93.59%.</t>
  </si>
  <si>
    <t>Symbol Machine processed 952 out of 952 symbols in sequence_solarWind_test.mat.
Total penalty: 1056.389 bits (1.1097 bits per symbol).
Correctly predicted 83.403% of symbols.
3831 probabilities forecasted between 0% and 1%; actual occurrence rate 0.44%.
2019 probabilities forecasted between 1% and 5%; actual occurrence rate 0.54%.
731 probabilities forecasted between 5% and 10%; actual occurrence rate 3.15%.
580 probabilities forecasted between 10% and 20%; actual occurrence rate 5.34%.
350 probabilities forecasted between 20% and 30%; actual occurrence rate 14.57%.
122 probabilities forecasted between 30% and 40%; actual occurrence rate 27.87%.
119 probabilities forecasted between 40% and 50%; actual occurrence rate 66.39%.
119 probabilities forecasted between 50% and 60%; actual occurrence rate 83.19%.
223 probabilities forecasted between 60% and 70%; actual occurrence rate 87.00%.
377 probabilities forecasted between 70% and 80%; actual occurrence rate 87.00%.
86 probabilities forecasted between 80% and 90%; actual occurrence rate 87.21%.
11 probabilities forecasted between 90% and 100%; actual occurrence rate 90.91%.</t>
  </si>
  <si>
    <t>Symbol Machine processed 900 out of 900 symbols in sequence_heart2_test.mat.
Total penalty: 1221.457 bits (1.3572 bits per symbol).
Correctly predicted 81.444% of symbols.
3560 probabilities forecasted between 0% and 1%; actual occurrence rate 1.07%.
2186 probabilities forecasted between 1% and 5%; actual occurrence rate 1.14%.
683 probabilities forecasted between 5% and 10%; actual occurrence rate 3.07%.
498 probabilities forecasted between 10% and 20%; actual occurrence rate 8.43%.
242 probabilities forecasted between 20% and 30%; actual occurrence rate 13.64%.
34 probabilities forecasted between 30% and 40%; actual occurrence rate 20.59%.
12 probabilities forecasted between 40% and 50%; actual occurrence rate 66.67%.
174 probabilities forecasted between 50% and 60%; actual occurrence rate 78.16%.
206 probabilities forecasted between 60% and 70%; actual occurrence rate 79.13%.
169 probabilities forecasted between 70% and 80%; actual occurrence rate 78.11%.
283 probabilities forecasted between 80% and 90%; actual occurrence rate 87.28%.
53 probabilities forecasted between 90% and 100%; actual occurrence rate 90.57%.</t>
  </si>
  <si>
    <t>Symbol Machine processed 900 out of 900 symbols in sequence_heart1_test.mat.
Total penalty: 1141.374 bits (1.2682 bits per symbol).
Correctly predicted 75.667% of symbols.
4087 probabilities forecasted between 0% and 1%; actual occurrence rate 0.32%.
1516 probabilities forecasted between 1% and 5%; actual occurrence rate 1.91%.
626 probabilities forecasted between 5% and 10%; actual occurrence rate 6.39%.
688 probabilities forecasted between 10% and 20%; actual occurrence rate 12.50%.
140 probabilities forecasted between 20% and 30%; actual occurrence rate 17.14%.
153 probabilities forecasted between 30% and 40%; actual occurrence rate 20.92%.
71 probabilities forecasted between 40% and 50%; actual occurrence rate 56.34%.
119 probabilities forecasted between 50% and 60%; actual occurrence rate 77.31%.
111 probabilities forecasted between 60% and 70%; actual occurrence rate 75.68%.
358 probabilities forecasted between 70% and 80%; actual occurrence rate 75.70%.
216 probabilities forecasted between 80% and 90%; actual occurrence rate 81.02%.
15 probabilities forecasted between 90% and 100%; actual occurrence rate 93.33%.</t>
  </si>
  <si>
    <t>Symbol Machine processed 900 out of 900 symbols in sequence_heart2_test.mat.
Total penalty: 1234.561 bits (1.3717 bits per symbol).
Correctly predicted 81.444% of symbols.
3811 probabilities forecasted between 0% and 1%; actual occurrence rate 0.97%.
1876 probabilities forecasted between 1% and 5%; actual occurrence rate 0.75%.
646 probabilities forecasted between 5% and 10%; actual occurrence rate 4.18%.
535 probabilities forecasted between 10% and 20%; actual occurrence rate 8.04%.
188 probabilities forecasted between 20% and 30%; actual occurrence rate 13.83%.
139 probabilities forecasted between 30% and 40%; actual occurrence rate 15.11%.
37 probabilities forecasted between 40% and 50%; actual occurrence rate 51.35%.
263 probabilities forecasted between 50% and 60%; actual occurrence rate 79.09%.
129 probabilities forecasted between 60% and 70%; actual occurrence rate 78.29%.
184 probabilities forecasted between 70% and 80%; actual occurrence rate 80.43%.
281 probabilities forecasted between 80% and 90%; actual occurrence rate 87.54%.
11 probabilities forecasted between 90% and 100%; actual occurrence rate 90.91%.</t>
  </si>
  <si>
    <t>Symbol Machine processed 900 out of 900 symbols in sequence_heart2_test.mat.
Total penalty: 1280.198 bits (1.4224 bits per symbol).
Correctly predicted 78.556% of symbols.
4055 probabilities forecasted between 0% and 1%; actual occurrence rate 0.89%.
1642 probabilities forecasted between 1% and 5%; actual occurrence rate 1.16%.
580 probabilities forecasted between 5% and 10%; actual occurrence rate 2.93%.
423 probabilities forecasted between 10% and 20%; actual occurrence rate 7.33%.
311 probabilities forecasted between 20% and 30%; actual occurrence rate 11.25%.
185 probabilities forecasted between 30% and 40%; actual occurrence rate 35.68%.
167 probabilities forecasted between 40% and 50%; actual occurrence rate 53.29%.
144 probabilities forecasted between 50% and 60%; actual occurrence rate 75.00%.
183 probabilities forecasted between 60% and 70%; actual occurrence rate 83.06%.
184 probabilities forecasted between 70% and 80%; actual occurrence rate 84.78%.
132 probabilities forecasted between 80% and 90%; actual occurrence rate 81.82%.
94 probabilities forecasted between 90% and 100%; actual occurrence rate 88.30%.</t>
  </si>
  <si>
    <t>Symbol Machine processed 900 out of 900 symbols in sequence_heart1_test.mat.
Total penalty: 1308.122 bits (1.4535 bits per symbol).
Correctly predicted 73.111% of symbols.
3423 probabilities forecasted between 0% and 1%; actual occurrence rate 0.64%.
1964 probabilities forecasted between 1% and 5%; actual occurrence rate 1.32%.
729 probabilities forecasted between 5% and 10%; actual occurrence rate 4.80%.
618 probabilities forecasted between 10% and 20%; actual occurrence rate 10.84%.
285 probabilities forecasted between 20% and 30%; actual occurrence rate 13.68%.
165 probabilities forecasted between 30% and 40%; actual occurrence rate 33.33%.
204 probabilities forecasted between 40% and 50%; actual occurrence rate 49.51%.
145 probabilities forecasted between 50% and 60%; actual occurrence rate 76.55%.
226 probabilities forecasted between 60% and 70%; actual occurrence rate 81.42%.
268 probabilities forecasted between 70% and 80%; actual occurrence rate 76.12%.
62 probabilities forecasted between 80% and 90%; actual occurrence rate 72.58%.
11 probabilities forecasted between 90% and 100%; actual occurrence rate 100.00%.</t>
  </si>
  <si>
    <t>Symbol Machine processed 900 out of 900 symbols in sequence_heart1_test.mat.
Total penalty: 1432.910 bits (1.5921 bits per symbol).
Correctly predicted 74.778% of symbols.
4070 probabilities forecasted between 0% and 1%; actual occurrence rate 0.91%.
1417 probabilities forecasted between 1% and 5%; actual occurrence rate 1.69%.
682 probabilities forecasted between 5% and 10%; actual occurrence rate 5.87%.
534 probabilities forecasted between 10% and 20%; actual occurrence rate 8.05%.
364 probabilities forecasted between 20% and 30%; actual occurrence rate 15.66%.
173 probabilities forecasted between 30% and 40%; actual occurrence rate 31.79%.
99 probabilities forecasted between 40% and 50%; actual occurrence rate 56.57%.
134 probabilities forecasted between 50% and 60%; actual occurrence rate 68.66%.
250 probabilities forecasted between 60% and 70%; actual occurrence rate 79.20%.
207 probabilities forecasted between 70% and 80%; actual occurrence rate 79.23%.
121 probabilities forecasted between 80% and 90%; actual occurrence rate 76.03%.
49 probabilities forecasted between 90% and 100%; actual occurrence rate 85.71%.</t>
  </si>
  <si>
    <t>Symbol Machine processed 5654 out of 5654 symbols in sequence_Hawaiian_test.mat.
Total penalty: 9691.657 bits (1.7141 bits per symbol).
Correctly predicted 62.133% of symbols.
13542 probabilities forecasted between 0% and 1%; actual occurrence rate 0.54%.
16927 probabilities forecasted between 1% and 5%; actual occurrence rate 1.81%.
6570 probabilities forecasted between 5% and 10%; actual occurrence rate 5.91%.
5302 probabilities forecasted between 10% and 20%; actual occurrence rate 14.26%.
3079 probabilities forecasted between 20% and 30%; actual occurrence rate 21.76%.
1182 probabilities forecasted between 30% and 40%; actual occurrence rate 32.40%.
913 probabilities forecasted between 40% and 50%; actual occurrence rate 53.89%.
1044 probabilities forecasted between 50% and 60%; actual occurrence rate 61.30%.
862 probabilities forecasted between 60% and 70%; actual occurrence rate 71.11%.
434 probabilities forecasted between 70% and 80%; actual occurrence rate 78.11%.
428 probabilities forecasted between 80% and 90%; actual occurrence rate 94.16%.
603 probabilities forecasted between 90% and 100%; actual occurrence rate 97.84%.</t>
  </si>
  <si>
    <t>Symbol Machine processed 5654 out of 5654 symbols in sequence_Hawaiian_test.mat.
Total penalty: 9638.105 bits (1.7047 bits per symbol).
Correctly predicted 61.673% of symbols.
15353 probabilities forecasted between 0% and 1%; actual occurrence rate 0.60%.
15515 probabilities forecasted between 1% and 5%; actual occurrence rate 2.07%.
6265 probabilities forecasted between 5% and 10%; actual occurrence rate 5.44%.
5204 probabilities forecasted between 10% and 20%; actual occurrence rate 13.57%.
3098 probabilities forecasted between 20% and 30%; actual occurrence rate 23.72%.
1095 probabilities forecasted between 30% and 40%; actual occurrence rate 33.06%.
864 probabilities forecasted between 40% and 50%; actual occurrence rate 47.34%.
1033 probabilities forecasted between 50% and 60%; actual occurrence rate 61.96%.
835 probabilities forecasted between 60% and 70%; actual occurrence rate 70.66%.
481 probabilities forecasted between 70% and 80%; actual occurrence rate 75.68%.
517 probabilities forecasted between 80% and 90%; actual occurrence rate 94.58%.
626 probabilities forecasted between 90% and 100%; actual occurrence rate 96.65%.</t>
  </si>
  <si>
    <t>Symbol Machine processed 5654 out of 5654 symbols in sequence_Hawaiian_test.mat.
Total penalty: 9664.604 bits (1.7093 bits per symbol).
Correctly predicted 61.567% of symbols.
14496 probabilities forecasted between 0% and 1%; actual occurrence rate 0.54%.
16101 probabilities forecasted between 1% and 5%; actual occurrence rate 1.89%.
8013 probabilities forecasted between 5% and 10%; actual occurrence rate 6.49%.
3506 probabilities forecasted between 10% and 20%; actual occurrence rate 16.00%.
2815 probabilities forecasted between 20% and 30%; actual occurrence rate 20.85%.
1479 probabilities forecasted between 30% and 40%; actual occurrence rate 33.74%.
974 probabilities forecasted between 40% and 50%; actual occurrence rate 49.79%.
1183 probabilities forecasted between 50% and 60%; actual occurrence rate 59.43%.
732 probabilities forecasted between 60% and 70%; actual occurrence rate 67.49%.
527 probabilities forecasted between 70% and 80%; actual occurrence rate 75.52%.
403 probabilities forecasted between 80% and 90%; actual occurrence rate 93.80%.
657 probabilities forecasted between 90% and 100%; actual occurrence rate 98.33%.</t>
  </si>
  <si>
    <t>Symbol Machine processed 5654 out of 5654 symbols in sequence_Hawaiian_test.mat.
Total penalty: 9875.560 bits (1.7467 bits per symbol).
Correctly predicted 61.302% of symbols.
13893 probabilities forecasted between 0% and 1%; actual occurrence rate 0.66%.
16319 probabilities forecasted between 1% and 5%; actual occurrence rate 1.94%.
8366 probabilities forecasted between 5% and 10%; actual occurrence rate 6.44%.
3779 probabilities forecasted between 10% and 20%; actual occurrence rate 15.32%.
2853 probabilities forecasted between 20% and 30%; actual occurrence rate 21.42%.
1347 probabilities forecasted between 30% and 40%; actual occurrence rate 33.63%.
790 probabilities forecasted between 40% and 50%; actual occurrence rate 51.14%.
1210 probabilities forecasted between 50% and 60%; actual occurrence rate 64.71%.
730 probabilities forecasted between 60% and 70%; actual occurrence rate 62.47%.
553 probabilities forecasted between 70% and 80%; actual occurrence rate 76.49%.
364 probabilities forecasted between 80% and 90%; actual occurrence rate 92.31%.
682 probabilities forecasted between 90% and 100%; actual occurrence rate 97.21%.</t>
  </si>
  <si>
    <t>Symbol Machine processed 5654 out of 5654 symbols in sequence_Hawaiian_test.mat.
Total penalty: 9948.635 bits (1.7596 bits per symbol).
Correctly predicted 61.461% of symbols.
15939 probabilities forecasted between 0% and 1%; actual occurrence rate 0.82%.
13907 probabilities forecasted between 1% and 5%; actual occurrence rate 1.94%.
7554 probabilities forecasted between 5% and 10%; actual occurrence rate 5.36%.
5235 probabilities forecasted between 10% and 20%; actual occurrence rate 13.56%.
2317 probabilities forecasted between 20% and 30%; actual occurrence rate 22.74%.
1545 probabilities forecasted between 30% and 40%; actual occurrence rate 33.46%.
1099 probabilities forecasted between 40% and 50%; actual occurrence rate 48.50%.
865 probabilities forecasted between 50% and 60%; actual occurrence rate 59.88%.
677 probabilities forecasted between 60% and 70%; actual occurrence rate 72.23%.
635 probabilities forecasted between 70% and 80%; actual occurrence rate 80.00%.
642 probabilities forecasted between 80% and 90%; actual occurrence rate 90.81%.
471 probabilities forecasted between 90% and 100%; actual occurrence rate 98.51%.</t>
  </si>
  <si>
    <t>Symbol Machine processed 5654 out of 5654 symbols in sequence_Hawaiian_test.mat.
Total penalty: 10153.495 bits (1.7958 bits per symbol).
Correctly predicted 61.143% of symbols.
12327 probabilities forecasted between 0% and 1%; actual occurrence rate 1.05%.
16741 probabilities forecasted between 1% and 5%; actual occurrence rate 1.64%.
8153 probabilities forecasted between 5% and 10%; actual occurrence rate 4.73%.
5925 probabilities forecasted between 10% and 20%; actual occurrence rate 13.76%.
2195 probabilities forecasted between 20% and 30%; actual occurrence rate 25.69%.
1366 probabilities forecasted between 30% and 40%; actual occurrence rate 34.04%.
917 probabilities forecasted between 40% and 50%; actual occurrence rate 50.05%.
851 probabilities forecasted between 50% and 60%; actual occurrence rate 62.51%.
697 probabilities forecasted between 60% and 70%; actual occurrence rate 71.45%.
683 probabilities forecasted between 70% and 80%; actual occurrence rate 81.55%.
668 probabilities forecasted between 80% and 90%; actual occurrence rate 92.37%.
363 probabilities forecasted between 90% and 100%; actual occurrence rate 98.62%.</t>
  </si>
  <si>
    <t>Symbol Machine processed 3287 out of 3287 symbols in sequence_DIAtemp_test.mat.
Total penalty: 5401.105 bits (1.6432 bits per symbol).
Correctly predicted 52.997% of symbols.
13203 probabilities forecasted between 0% and 1%; actual occurrence rate 0.22%.
5590 probabilities forecasted between 1% and 5%; actual occurrence rate 1.48%.
1973 probabilities forecasted between 5% and 10%; actual occurrence rate 5.58%.
2216 probabilities forecasted between 10% and 20%; actual occurrence rate 15.07%.
1944 probabilities forecasted between 20% and 30%; actual occurrence rate 24.85%.
1620 probabilities forecasted between 30% and 40%; actual occurrence rate 37.96%.
1563 probabilities forecasted between 40% and 50%; actual occurrence rate 44.53%.
790 probabilities forecasted between 50% and 60%; actual occurrence rate 54.05%.
292 probabilities forecasted between 60% and 70%; actual occurrence rate 67.81%.
391 probabilities forecasted between 70% and 80%; actual occurrence rate 79.80%.
1 probabilities forecasted between 80% and 90%; actual occurrence rate 0.00%.
0 probabilities forecasted between 90% and 100%.</t>
  </si>
  <si>
    <t>Symbol Machine processed 3287 out of 3287 symbols in sequence_DIATemp_test.mat.
Total penalty: 5461.353 bits (1.6615 bits per symbol).
Correctly predicted 52.297% of symbols.
13087 probabilities forecasted between 0% and 1%; actual occurrence rate 0.31%.
6125 probabilities forecasted between 1% and 5%; actual occurrence rate 1.40%.
1644 probabilities forecasted between 5% and 10%; actual occurrence rate 6.87%.
2105 probabilities forecasted between 10% and 20%; actual occurrence rate 15.06%.
1911 probabilities forecasted between 20% and 30%; actual occurrence rate 24.12%.
1532 probabilities forecasted between 30% and 40%; actual occurrence rate 38.19%.
1694 probabilities forecasted between 40% and 50%; actual occurrence rate 44.39%.
665 probabilities forecasted between 50% and 60%; actual occurrence rate 50.38%.
386 probabilities forecasted between 60% and 70%; actual occurrence rate 66.06%.
434 probabilities forecasted between 70% and 80%; actual occurrence rate 79.03%.
0 probabilities forecasted between 80% and 90%.
0 probabilities forecasted between 90% and 100%.</t>
  </si>
  <si>
    <t>Symbol Machine processed 3287 out of 3287 symbols in sequence_DIATemp_test.mat.
Total penalty: 5521.074 bits (1.6797 bits per symbol).
Correctly predicted 52.297% of symbols.
13480 probabilities forecasted between 0% and 1%; actual occurrence rate 0.27%.
5497 probabilities forecasted between 1% and 5%; actual occurrence rate 1.67%.
1652 probabilities forecasted between 5% and 10%; actual occurrence rate 5.51%.
2149 probabilities forecasted between 10% and 20%; actual occurrence rate 14.43%.
2187 probabilities forecasted between 20% and 30%; actual occurrence rate 25.15%.
1647 probabilities forecasted between 30% and 40%; actual occurrence rate 37.77%.
1701 probabilities forecasted between 40% and 50%; actual occurrence rate 43.92%.
501 probabilities forecasted between 50% and 60%; actual occurrence rate 54.69%.
345 probabilities forecasted between 60% and 70%; actual occurrence rate 65.51%.
387 probabilities forecasted between 70% and 80%; actual occurrence rate 79.07%.
37 probabilities forecasted between 80% and 90%; actual occurrence rate 86.49%.
0 probabilities forecasted between 90% and 100%.</t>
  </si>
  <si>
    <t>Symbol Machine processed 3287 out of 3287 symbols in sequence_DIAtemp_test.mat.
Total penalty: 5512.271 bits (1.6770 bits per symbol).
Correctly predicted 52.175% of symbols.
13621 probabilities forecasted between 0% and 1%; actual occurrence rate 0.32%.
5303 probabilities forecasted between 1% and 5%; actual occurrence rate 1.62%.
1692 probabilities forecasted between 5% and 10%; actual occurrence rate 5.67%.
2089 probabilities forecasted between 10% and 20%; actual occurrence rate 14.60%.
2296 probabilities forecasted between 20% and 30%; actual occurrence rate 24.43%.
1612 probabilities forecasted between 30% and 40%; actual occurrence rate 37.10%.
1627 probabilities forecasted between 40% and 50%; actual occurrence rate 45.11%.
467 probabilities forecasted between 50% and 60%; actual occurrence rate 48.39%.
504 probabilities forecasted between 60% and 70%; actual occurrence rate 67.06%.
372 probabilities forecasted between 70% and 80%; actual occurrence rate 80.38%.
0 probabilities forecasted between 80% and 90%.
0 probabilities forecasted between 90% and 100%.</t>
  </si>
  <si>
    <t>Symbol Machine processed 900 out of 900 symbols in sequence_heart2_test.mat.
Total penalty: 1750.950 bits (1.9455 bits per symbol).
Correctly predicted 59.333% of symbols.
3728 probabilities forecasted between 0% and 1%; actual occurrence rate 1.26%.
1310 probabilities forecasted between 1% and 5%; actual occurrence rate 0.92%.
913 probabilities forecasted between 5% and 10%; actual occurrence rate 3.72%.
527 probabilities forecasted between 10% and 20%; actual occurrence rate 12.33%.
453 probabilities forecasted between 20% and 30%; actual occurrence rate 23.62%.
318 probabilities forecasted between 30% and 40%; actual occurrence rate 37.11%.
299 probabilities forecasted between 40% and 50%; actual occurrence rate 53.51%.
221 probabilities forecasted between 50% and 60%; actual occurrence rate 41.18%.
137 probabilities forecasted between 60% and 70%; actual occurrence rate 75.18%.
112 probabilities forecasted between 70% and 80%; actual occurrence rate 87.50%.
66 probabilities forecasted between 80% and 90%; actual occurrence rate 80.30%.
16 probabilities forecasted between 90% and 100%; actual occurrence rate 75.00%.</t>
  </si>
  <si>
    <t>Symbol Machine processed 3287 out of 3287 symbols in sequence_DIAwind_test.mat.
Total penalty: 6240.663 bits (1.8986 bits per symbol).
Correctly predicted 46.517% of symbols.
12923 probabilities forecasted between 0% and 1%; actual occurrence rate 0.24%.
4011 probabilities forecasted between 1% and 5%; actual occurrence rate 2.77%.
3318 probabilities forecasted between 5% and 10%; actual occurrence rate 8.02%.
2732 probabilities forecasted between 10% and 20%; actual occurrence rate 12.37%.
1815 probabilities forecasted between 20% and 30%; actual occurrence rate 27.88%.
1888 probabilities forecasted between 30% and 40%; actual occurrence rate 34.48%.
1576 probabilities forecasted between 40% and 50%; actual occurrence rate 43.65%.
1312 probabilities forecasted between 50% and 60%; actual occurrence rate 52.74%.
8 probabilities forecasted between 60% and 70%; actual occurrence rate 50.00%.
0 probabilities forecasted between 70% and 80%.
0 probabilities forecasted between 80% and 90%.
0 probabilities forecasted between 90% and 100%.</t>
  </si>
  <si>
    <t>Symbol Machine processed 3287 out of 3287 symbols in sequence_DIAwind_test.mat.
Total penalty: 6238.715 bits (1.8980 bits per symbol).
Correctly predicted 46.364% of symbols.
11807 probabilities forecasted between 0% and 1%; actual occurrence rate 0.30%.
5340 probabilities forecasted between 1% and 5%; actual occurrence rate 2.04%.
3426 probabilities forecasted between 5% and 10%; actual occurrence rate 8.46%.
2234 probabilities forecasted between 10% and 20%; actual occurrence rate 11.91%.
1403 probabilities forecasted between 20% and 30%; actual occurrence rate 26.23%.
2494 probabilities forecasted between 30% and 40%; actual occurrence rate 34.04%.
2180 probabilities forecasted between 40% and 50%; actual occurrence rate 44.77%.
699 probabilities forecasted between 50% and 60%; actual occurrence rate 56.22%.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</si>
  <si>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sequence_DIAwind_test.mat.
Total penalty: 6278.286 bits (1.9100 bits per symbol).
Correctly predicted 46.334% of symbols.
12384 probabilities forecasted between 0% and 1%; actual occurrence rate 0.28%.
4915 probabilities forecasted between 1% and 5%; actual occurrence rate 2.50%.
3244 probabilities forecasted between 5% and 10%; actual occurrence rate 9.19%.
2392 probabilities forecasted between 10% and 20%; actual occurrence rate 11.66%.
1643 probabilities forecasted between 20% and 30%; actual occurrence rate 27.94%.
2094 probabilities forecasted between 30% and 40%; actual occurrence rate 33.67%.
1687 probabilities forecasted between 40% and 50%; actual occurrence rate 44.04%.
1143 probabilities forecasted between 50% and 60%; actual occurrence rate 52.14%.
81 probabilities forecasted between 60% and 70%; actual occurrence rate 60.49%.
0 probabilities forecasted between 70% and 80%.
0 probabilities forecasted between 80% and 90%.
0 probabilities forecasted between 90% and 100%.</t>
  </si>
  <si>
    <t>Symbol Machine processed 3287 out of 3287 symbols in sequence_DIAwind_test.mat.
Total penalty: 6270.598 bits (1.9077 bits per symbol).
Correctly predicted 45.695% of symbols.
11900 probabilities forecasted between 0% and 1%; actual occurrence rate 0.29%.
5111 probabilities forecasted between 1% and 5%; actual occurrence rate 2.15%.
3415 probabilities forecasted between 5% and 10%; actual occurrence rate 8.26%.
2422 probabilities forecasted between 10% and 20%; actual occurrence rate 12.18%.
1647 probabilities forecasted between 20% and 30%; actual occurrence rate 26.90%.
2197 probabilities forecasted between 30% and 40%; actual occurrence rate 34.55%.
2063 probabilities forecasted between 40% and 50%; actual occurrence rate 43.48%.
789 probabilities forecasted between 50% and 60%; actual occurrence rate 56.40%.
39 probabilities forecasted between 60% and 70%; actual occurrence rate 56.41%.
0 probabilities forecasted between 70% and 80%.
0 probabilities forecasted between 80% and 90%.
0 probabilities forecasted between 90% and 100%.</t>
  </si>
  <si>
    <t>Symbol Machine processed 10000 out of 10000 symbols in sequence_uniform_test.mat.
Total penalty: 31850.854 bits (3.1851 bits per symbol).
Correctly predicted 11.350% of symbols.
0 probabilities forecasted between 0% and 1%.
10 probabilities forecasted between 1% and 5%; actual occurrence rate 20.00%.
22957 probabilities forecasted between 5% and 10%; actual occurrence rate 11.06%.
67033 probabilities forecasted between 10% and 20%; actual occurrence rate 11.13%.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</si>
  <si>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sequence_uniform_test.mat.
Total penalty: 32469.059 bits (3.2469 bits per symbol).
Correctly predicted 11.470% of symbols.
228 probabilities forecasted between 0% and 1%; actual occurrence rate 12.72%.
2374 probabilities forecasted between 1% and 5%; actual occurrence rate 10.91%.
29748 probabilities forecasted between 5% and 10%; actual occurrence rate 10.75%.
56989 probabilities forecasted between 10% and 20%; actual occurrence rate 11.30%.
655 probabilities forecasted between 20% and 30%; actual occurrence rate 11.15%.
6 probabilities forecasted between 30% and 40%; actual occurrence rate 16.67%.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</si>
  <si>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sequence_Uniform_test.mat.
Total penalty: 32246.170 bits (3.2246 bits per symbol).
Correctly predicted 11.390% of symbols.
73 probabilities forecasted between 0% and 1%; actual occurrence rate 10.96%.
1255 probabilities forecasted between 1% and 5%; actual occurrence rate 11.71%.
29016 probabilities forecasted between 5% and 10%; actual occurrence rate 11.14%.
59339 probabilities forecasted between 10% and 20%; actual occurrence rate 11.08%.
310 probabilities forecasted between 20% and 30%; actual occurrence rate 11.61%.
7 probabilities forecasted between 30% and 40%; actual occurrence rate 42.86%.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</si>
  <si>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sequence_uniform_test.mat.
Total penalty: 32040.549 bits (3.2041 bits per symbol).
Correctly predicted 10.950% of symbols.
1 probabilities forecasted between 0% and 1%; actual occurrence rate 0.00%.
487 probabilities forecasted between 1% and 5%; actual occurrence rate 11.29%.
27485 probabilities forecasted between 5% and 10%; actual occurrence rate 11.11%.
61999 probabilities forecasted between 10% and 20%; actual occurrence rate 11.11%.
28 probabilities forecasted between 20% and 30%; actual occurrence rate 7.14%.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</si>
  <si>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38303.574 bits (3.8304 bits per symbol).
Correctly predicted 3.920% of symbols.
9768 probabilities forecasted between 0% and 1%; actual occurrence rate 5.41%.
13720 probabilities forecasted between 1% and 5%; actual occurrence rate 8.88%.
16192 probabilities forecasted between 5% and 10%; actual occurrence rate 19.02%.
40279 probabilities forecasted between 10% and 20%; actual occurrence rate 11.94%.
9632 probabilities forecasted between 20% and 30%; actual occurrence rate 3.72%.
409 probabilities forecasted between 30% and 40%; actual occurrence rate 2.20%.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</si>
  <si>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34181.219 bits (3.4181 bits per symbol).
Correctly predicted 3.030% of symbols.
2482 probabilities forecasted between 0% and 1%; actual occurrence rate 2.30%.
14601 probabilities forecasted between 1% and 5%; actual occurrence rate 4.01%.
27283 probabilities forecasted between 5% and 10%; actual occurrence rate 16.73%.
33250 probabilities forecasted between 10% and 20%; actual occurrence rate 13.18%.
12367 probabilities forecasted between 20% and 30%; actual occurrence rate 3.30%.
17 probabilities forecasted between 30% and 40%; actual occurrence rate 5.88%.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</si>
  <si>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35463.711 bits (3.5464 bits per symbol).
Correctly predicted 3.140% of symbols.
6021 probabilities forecasted between 0% and 1%; actual occurrence rate 2.26%.
17202 probabilities forecasted between 1% and 5%; actual occurrence rate 6.56%.
21741 probabilities forecasted between 5% and 10%; actual occurrence rate 19.52%.
30623 probabilities forecasted between 10% and 20%; actual occurrence rate 12.88%.
14341 probabilities forecasted between 20% and 30%; actual occurrence rate 3.81%.
72 probabilities forecasted between 30% and 40%; actual occurrence rate 1.39%.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</si>
  <si>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66471.383 bits (6.6471 bits per symbol).
Correctly predicted 4.800% of symbols.
26203 probabilities forecasted between 0% and 1%; actual occurrence rate 12.30%.
14314 probabilities forecasted between 1% and 5%; actual occurrence rate 12.61%.
18820 probabilities forecasted between 5% and 10%; actual occurrence rate 13.26%.
11462 probabilities forecasted between 10% and 20%; actual occurrence rate 10.97%.
5635 probabilities forecasted between 20% and 30%; actual occurrence rate 7.28%.
8523 probabilities forecasted between 30% and 40%; actual occurrence rate 6.39%.
5023 probabilities forecasted between 40% and 50%; actual occurrence rate 5.24%.
20 probabilities forecasted between 50% and 60%; actual occurrence rate 0.00%.
0 probabilities forecasted between 60% and 70%.
0 probabilities forecasted between 70% and 80%.
0 probabilities forecasted between 80% and 90%.
0 probabilities forecasted between 90% and 100%.</t>
  </si>
  <si>
    <t>Symbol Machine processed 75014 out of 75014 symbols in sequence_Dickens_test.mat.
Total penalty: 180907.031 bits (2.4116 bits per symbol).
Correctly predicted 42.836% of symbols.
109371 probabilities forecasted between 0% and 1%; actual occurrence rate 1.12%.
149169 probabilities forecasted between 1% and 5%; actual occurrence rate 2.93%.
159744 probabilities forecasted between 5% and 10%; actual occurrence rate 6.47%.
158111 probabilities forecasted between 10% and 20%; actual occurrence rate 13.13%.
51202 probabilities forecasted between 20% and 30%; actual occurrence rate 23.99%.
18620 probabilities forecasted between 30% and 40%; actual occurrence rate 35.85%.
8962 probabilities forecasted between 40% and 50%; actual occurrence rate 50.35%.
6716 probabilities forecasted between 50% and 60%; actual occurrence rate 59.84%.
4945 probabilities forecasted between 60% and 70%; actual occurrence rate 71.79%.
3949 probabilities forecasted between 70% and 80%; actual occurrence rate 83.62%.
3203 probabilities forecasted between 80% and 90%; actual occurrence rate 90.01%.
1134 probabilities forecasted between 90% and 100%; actual occurrence rate 95.94%.</t>
  </si>
  <si>
    <t>Symbol Machine processed 10000 out of 10000 symbols in sequence_selfadapt_test.mat.
Total penalty: 38680.598 bits (3.8681 bits per symbol).
Correctly predicted 10.340% of symbols.
9982 probabilities forecasted between 0% and 1%; actual occurrence rate 4.02%.
21935 probabilities forecasted between 1% and 5%; actual occurrence rate 10.59%.
25910 probabilities forecasted between 5% and 10%; actual occurrence rate 11.95%.
12423 probabilities forecasted between 10% and 20%; actual occurrence rate 25.10%.
10080 probabilities forecasted between 20% and 30%; actual occurrence rate 0.56%.
9402 probabilities forecasted between 30% and 40%; actual occurrence rate 10.36%.
268 probabilities forecasted between 40% and 50%; actual occurrence rate 12.31%.
0 probabilities forecasted between 50% and 60%.
0 probabilities forecasted between 60% and 70%.
0 probabilities forecasted between 70% and 80%.
0 probabilities forecasted between 80% and 90%.
0 probabilities forecasted between 90% and 100%.</t>
  </si>
  <si>
    <t>NN_NoLSTM</t>
  </si>
  <si>
    <t>Layer Heights</t>
  </si>
  <si>
    <t>MiniBatchSize</t>
  </si>
  <si>
    <t>Shuffle</t>
  </si>
  <si>
    <t>Symbol Machine processed 952 out of 952 symbols in sequence_solarWind_test.mat.
Total penalty: 712.354 bits (0.7483 bits per symbol).
Correctly predicted 85.714% of symbols.
5685 probabilities forecasted between 0% and 1%; actual occurrence rate 0.02%.
474 probabilities forecasted between 1% and 5%; actual occurrence rate 6.75%.
1130 probabilities forecasted between 5% and 10%; actual occurrence rate 5.31%.
197 probabilities forecasted between 10% and 20%; actual occurrence rate 6.60%.
131 probabilities forecasted between 20% and 30%; actual occurrence rate 22.90%.
0 probabilities forecasted between 30% and 40%.
0 probabilities forecasted between 40% and 50%.
0 probabilities forecasted between 50% and 60%.
140 probabilities forecasted between 60% and 70%; actual occurrence rate 72.14%.
21 probabilities forecasted between 70% and 80%; actual occurrence rate 80.95%.
790 probabilities forecasted between 80% and 90%; actual occurrence rate 88.35%.
0 probabilities forecasted between 90% and 100%.</t>
  </si>
  <si>
    <t>1000,500,100,100.0,101</t>
  </si>
  <si>
    <t>N/A</t>
  </si>
  <si>
    <t>Always</t>
  </si>
  <si>
    <t>Symbol Machine processed 952 out of 952 symbols in sequence_solarWind_test.mat.
Total penalty: 712.357 bits (0.7483 bits per symbol).
Correctly predicted 85.714% of symbols.
5685 probabilities forecasted between 0% and 1%; actual occurrence rate 0.02%.
474 probabilities forecasted between 1% and 5%; actual occurrence rate 6.75%.
1130 probabilities forecasted between 5% and 10%; actual occurrence rate 5.31%.
197 probabilities forecasted between 10% and 20%; actual occurrence rate 6.60%.
131 probabilities forecasted between 20% and 30%; actual occurrence rate 22.90%.
0 probabilities forecasted between 30% and 40%.
0 probabilities forecasted between 40% and 50%.
0 probabilities forecasted between 50% and 60%.
140 probabilities forecasted between 60% and 70%; actual occurrence rate 72.14%.
21 probabilities forecasted between 70% and 80%; actual occurrence rate 80.95%.
790 probabilities forecasted between 80% and 90%; actual occurrence rate 88.35%.
0 probabilities forecasted between 90% and 100%.</t>
  </si>
  <si>
    <t>1000,500,100,10,102</t>
  </si>
  <si>
    <t>Symbol Machine processed 900 out of 900 symbols in sequence_heart2_test.mat.
Total penalty: 824.943 bits (0.9166 bits per symbol).
Correctly predicted 81.444% of symbols.
5500 probabilities forecasted between 0% and 1%; actual occurrence rate 0.05%.
687 probabilities forecasted between 1% and 5%; actual occurrence rate 8.15%.
646 probabilities forecasted between 5% and 10%; actual occurrence rate 9.60%.
368 probabilities forecasted between 10% and 20%; actual occurrence rate 12.50%.
0 probabilities forecasted between 20% and 30%.
0 probabilities forecasted between 30% and 40%.
0 probabilities forecasted between 40% and 50%.
0 probabilities forecasted between 50% and 60%.
0 probabilities forecasted between 60% and 70%.
303 probabilities forecasted between 70% and 80%; actual occurrence rate 77.56%.
242 probabilities forecasted between 80% and 90%; actual occurrence rate 77.69%.
354 probabilities forecasted between 90% and 100%; actual occurrence rate 87.57%.</t>
  </si>
  <si>
    <t>1000,500,100,50,100</t>
  </si>
  <si>
    <t>Symbol Machine processed 900 out of 900 symbols in sequence_heart2_test.mat.
Total penalty: 824.899 bits (0.9166 bits per symbol).
Correctly predicted 81.444% of symbols.
5500 probabilities forecasted between 0% and 1%; actual occurrence rate 0.05%.
687 probabilities forecasted between 1% and 5%; actual occurrence rate 8.15%.
646 probabilities forecasted between 5% and 10%; actual occurrence rate 9.60%.
368 probabilities forecasted between 10% and 20%; actual occurrence rate 12.50%.
0 probabilities forecasted between 20% and 30%.
0 probabilities forecasted between 30% and 40%.
0 probabilities forecasted between 40% and 50%.
0 probabilities forecasted between 50% and 60%.
0 probabilities forecasted between 60% and 70%.
303 probabilities forecasted between 70% and 80%; actual occurrence rate 77.56%.
242 probabilities forecasted between 80% and 90%; actual occurrence rate 77.69%.
354 probabilities forecasted between 90% and 100%; actual occurrence rate 87.57%.</t>
  </si>
  <si>
    <t>1000,500,100,10,100</t>
  </si>
  <si>
    <t>Symbol Machine processed 900 out of 900 symbols in sequence_heart2_test.mat.
Total penalty: 827.718 bits (0.9197 bits per symbol).
Correctly predicted 81.667% of symbols.
4897 probabilities forecasted between 0% and 1%; actual occurrence rate 0.04%.
1218 probabilities forecasted between 1% and 5%; actual occurrence rate 4.35%.
646 probabilities forecasted between 5% and 10%; actual occurrence rate 9.29%.
440 probabilities forecasted between 10% and 20%; actual occurrence rate 11.36%.
0 probabilities forecasted between 20% and 30%.
3 probabilities forecasted between 30% and 40%; actual occurrence rate 66.67%.
0 probabilities forecasted between 40% and 50%.
0 probabilities forecasted between 50% and 60%.
0 probabilities forecasted between 60% and 70%.
361 probabilities forecasted between 70% and 80%; actual occurrence rate 76.45%.
184 probabilities forecasted between 80% and 90%; actual occurrence rate 79.89%.
351 probabilities forecasted between 90% and 100%; actual occurrence rate 88.32%.</t>
  </si>
  <si>
    <t>1000,500,100,5,100</t>
  </si>
  <si>
    <t>Symbol Machine processed 900 out of 900 symbols in sequence_heart2_test.mat.
Total penalty: 828.051 bits (0.9201 bits per symbol).
Correctly predicted 81.667% of symbols.
5005 probabilities forecasted between 0% and 1%; actual occurrence rate 0.04%.
1109 probabilities forecasted between 1% and 5%; actual occurrence rate 4.78%.
650 probabilities forecasted between 5% and 10%; actual occurrence rate 9.38%.
436 probabilities forecasted between 10% and 20%; actual occurrence rate 11.24%.
1 probabilities forecasted between 20% and 30%; actual occurrence rate 0.00%.
3 probabilities forecasted between 30% and 40%; actual occurrence rate 66.67%.
0 probabilities forecasted between 40% and 50%.
0 probabilities forecasted between 50% and 60%.
0 probabilities forecasted between 60% and 70%.
361 probabilities forecasted between 70% and 80%; actual occurrence rate 76.45%.
184 probabilities forecasted between 80% and 90%; actual occurrence rate 79.89%.
351 probabilities forecasted between 90% and 100%; actual occurrence rate 88.32%.</t>
  </si>
  <si>
    <t>Symbol Machine processed 952 out of 952 symbols in sequence_solarWind_test.mat.
Total penalty: 854.603 bits (0.8977 bits per symbol).
Correctly predicted 76.050% of symbols.
5131 probabilities forecasted between 0% and 1%; actual occurrence rate 0.02%.
445 probabilities forecasted between 1% and 5%; actual occurrence rate 0.00%.
1582 probabilities forecasted between 5% and 10%; actual occurrence rate 5.82%.
310 probabilities forecasted between 10% and 20%; actual occurrence rate 32.58%.
149 probabilities forecasted between 20% and 30%; actual occurrence rate 22.82%.
131 probabilities forecasted between 30% and 40%; actual occurrence rate 3.05%.
9 probabilities forecasted between 40% and 50%; actual occurrence rate 55.56%.
0 probabilities forecasted between 50% and 60%.
0 probabilities forecasted between 60% and 70%.
21 probabilities forecasted between 70% and 80%; actual occurrence rate 80.95%.
790 probabilities forecasted between 80% and 90%; actual occurrence rate 88.35%.
0 probabilities forecasted between 90% and 100%.</t>
  </si>
  <si>
    <t>Symbol Machine processed 5654 out of 5654 symbols in sequence_Hawaiian_test.mat.
Total penalty: 10093.810 bits (1.7853 bits per symbol).
Correctly predicted 60.134% of symbols.
13139 probabilities forecasted between 0% and 1%; actual occurrence rate 0.58%.
15809 probabilities forecasted between 1% and 5%; actual occurrence rate 2.14%.
11598 probabilities forecasted between 5% and 10%; actual occurrence rate 6.77%.
152 probabilities forecasted between 10% and 20%; actual occurrence rate 13.16%.
4534 probabilities forecasted between 20% and 30%; actual occurrence rate 22.81%.
0 probabilities forecasted between 30% and 40%.
2401 probabilities forecasted between 40% and 50%; actual occurrence rate 46.36%.
2089 probabilities forecasted between 50% and 60%; actual occurrence rate 57.83%.
0 probabilities forecasted between 60% and 70%.
44 probabilities forecasted between 70% and 80%; actual occurrence rate 50.00%.
152 probabilities forecasted between 80% and 90%; actual occurrence rate 85.53%.
968 probabilities forecasted between 90% and 100%; actual occurrence rate 95.76%.</t>
  </si>
  <si>
    <t>Symbol Machine processed 5654 out of 5654 symbols in sequence_Hawaiian_test.mat.
Total penalty: 10167.869 bits (1.7983 bits per symbol).
Correctly predicted 60.134% of symbols.
12813 probabilities forecasted between 0% and 1%; actual occurrence rate 0.44%.
16135 probabilities forecasted between 1% and 5%; actual occurrence rate 2.22%.
11750 probabilities forecasted between 5% and 10%; actual occurrence rate 6.85%.
0 probabilities forecasted between 10% and 20%.
4534 probabilities forecasted between 20% and 30%; actual occurrence rate 22.81%.
2401 probabilities forecasted between 30% and 40%; actual occurrence rate 46.36%.
0 probabilities forecasted between 40% and 50%.
2089 probabilities forecasted between 50% and 60%; actual occurrence rate 57.83%.
0 probabilities forecasted between 60% and 70%.
44 probabilities forecasted between 70% and 80%; actual occurrence rate 50.00%.
152 probabilities forecasted between 80% and 90%; actual occurrence rate 85.53%.
968 probabilities forecasted between 90% and 100%; actual occurrence rate 95.76%.</t>
  </si>
  <si>
    <t>1000,500,100,100.0,100</t>
  </si>
  <si>
    <t>Symbol Machine processed 5654 out of 5654 symbols in sequence_Hawaiian_test.mat.
Total penalty: 10263.270 bits (1.8152 bits per symbol).
Correctly predicted 60.134% of symbols.
8071 probabilities forecasted between 0% and 1%; actual occurrence rate 0.28%.
27813 probabilities forecasted between 1% and 5%; actual occurrence rate 3.18%.
4814 probabilities forecasted between 5% and 10%; actual occurrence rate 6.48%.
44 probabilities forecasted between 10% and 20%; actual occurrence rate 50.00%.
4490 probabilities forecasted between 20% and 30%; actual occurrence rate 22.54%.
0 probabilities forecasted between 30% and 40%.
2401 probabilities forecasted between 40% and 50%; actual occurrence rate 46.36%.
2132 probabilities forecasted between 50% and 60%; actual occurrence rate 57.69%.
0 probabilities forecasted between 60% and 70%.
1 probabilities forecasted between 70% and 80%; actual occurrence rate 0.00%.
152 probabilities forecasted between 80% and 90%; actual occurrence rate 85.53%.
968 probabilities forecasted between 90% and 100%; actual occurrence rate 95.76%.</t>
  </si>
  <si>
    <t>1000,500,100,1,100</t>
  </si>
  <si>
    <t>Symbol Machine processed 3287 out of 3287 symbols in sequence_DIAtemp_test.mat.
Total penalty: 5618.304 bits (1.7092 bits per symbol).
Correctly predicted 50.928% of symbols.
13593 probabilities forecasted between 0% and 1%; actual occurrence rate 0.24%.
4938 probabilities forecasted between 1% and 5%; actual occurrence rate 1.74%.
1841 probabilities forecasted between 5% and 10%; actual occurrence rate 5.54%.
1263 probabilities forecasted between 10% and 20%; actual occurrence rate 16.15%.
3473 probabilities forecasted between 20% and 30%; actual occurrence rate 21.80%.
1208 probabilities forecasted between 30% and 40%; actual occurrence rate 36.34%.
1898 probabilities forecasted between 40% and 50%; actual occurrence rate 41.57%.
720 probabilities forecasted between 50% and 60%; actual occurrence rate 54.86%.
0 probabilities forecasted between 60% and 70%.
649 probabilities forecasted between 70% and 80%; actual occurrence rate 74.27%.
0 probabilities forecasted between 80% and 90%.
0 probabilities forecasted between 90% and 100%.</t>
  </si>
  <si>
    <t>Symbol Machine processed 3287 out of 3287 symbols in sequence_DIAtemp_test.mat.
Total penalty: 5638.267 bits (1.7153 bits per symbol).
Correctly predicted 50.928% of symbols.
15591 probabilities forecasted between 0% and 1%; actual occurrence rate 0.26%.
2769 probabilities forecasted between 1% and 5%; actual occurrence rate 2.67%.
2026 probabilities forecasted between 5% and 10%; actual occurrence rate 5.38%.
2006 probabilities forecasted between 10% and 20%; actual occurrence rate 18.25%.
2748 probabilities forecasted between 20% and 30%; actual occurrence rate 21.83%.
1530 probabilities forecasted between 30% and 40%; actual occurrence rate 36.80%.
1535 probabilities forecasted between 40% and 50%; actual occurrence rate 42.41%.
729 probabilities forecasted between 50% and 60%; actual occurrence rate 55.14%.
0 probabilities forecasted between 60% and 70%.
649 probabilities forecasted between 70% and 80%; actual occurrence rate 74.27%.
0 probabilities forecasted between 80% and 90%.
0 probabilities forecasted between 90% and 100%.</t>
  </si>
  <si>
    <t>Symbol Machine processed 3287 out of 3287 symbols in sequence_DIAwind_test.mat.
Total penalty: 6210.174 bits (1.8893 bits per symbol).
Correctly predicted 46.425% of symbols.
12677 probabilities forecasted between 0% and 1%; actual occurrence rate 0.27%.
3804 probabilities forecasted between 1% and 5%; actual occurrence rate 2.16%.
4243 probabilities forecasted between 5% and 10%; actual occurrence rate 8.27%.
2279 probabilities forecasted between 10% and 20%; actual occurrence rate 12.24%.
392 probabilities forecasted between 20% and 30%; actual occurrence rate 20.92%.
3305 probabilities forecasted between 30% and 40%; actual occurrence rate 32.13%.
2876 probabilities forecasted between 40% and 50%; actual occurrence rate 48.47%.
7 probabilities forecasted between 50% and 60%; actual occurrence rate 42.86%.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</si>
  <si>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sequence_DIAwind_test.mat.
Total penalty: 6247.874 bits (1.9008 bits per symbol).
Correctly predicted 46.364% of symbols.
11302 probabilities forecasted between 0% and 1%; actual occurrence rate 0.22%.
5064 probabilities forecasted between 1% and 5%; actual occurrence rate 1.60%.
4358 probabilities forecasted between 5% and 10%; actual occurrence rate 8.28%.
1942 probabilities forecasted between 10% and 20%; actual occurrence rate 11.07%.
799 probabilities forecasted between 20% and 30%; actual occurrence rate 20.90%.
3235 probabilities forecasted between 30% and 40%; actual occurrence rate 32.18%.
2872 probabilities forecasted between 40% and 50%; actual occurrence rate 48.54%.
11 probabilities forecasted between 50% and 60%; actual occurrence rate 27.27%.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</si>
  <si>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sequence_DIAwind_test.mat.
Total penalty: 6340.042 bits (1.9288 bits per symbol).
Correctly predicted 46.882% of symbols.
8422 probabilities forecasted between 0% and 1%; actual occurrence rate 0.25%.
7949 probabilities forecasted between 1% and 5%; actual occurrence rate 1.23%.
2304 probabilities forecasted between 5% and 10%; actual occurrence rate 6.60%.
3939 probabilities forecasted between 10% and 20%; actual occurrence rate 10.26%.
2381 probabilities forecasted between 20% and 30%; actual occurrence rate 26.38%.
1705 probabilities forecasted between 30% and 40%; actual occurrence rate 34.43%.
2876 probabilities forecasted between 40% and 50%; actual occurrence rate 48.47%.
7 probabilities forecasted between 50% and 60%; actual occurrence rate 42.86%.
0 probabilities forecasted between 60% and 70%.
0 probabilities forecasted between 70% and 80%.
0 probabilities forecasted between 80% and 90%.
0 probabilities forecasted between 90% and 100%.</t>
  </si>
  <si>
    <t>Never</t>
  </si>
  <si>
    <t>Symbol Machine processed 10000 out of 10000 symbols in sequence_uniform_test.mat.
Total penalty: 31763.324 bits (3.1763 bits per symbol).
Correctly predicted 11.460% of symbols.
0 probabilities forecasted between 0% and 1%.
0 probabilities forecasted between 1% and 5%.
16687 probabilities forecasted between 5% and 10%; actual occurrence rate 11.07%.
73313 probabilities forecasted between 10% and 20%; actual occurrence rate 11.12%.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</si>
  <si>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32561.621 bits (3.2562 bits per symbol).
Correctly predicted 2.190% of symbols.
0 probabilities forecasted between 0% and 1%.
20000 probabilities forecasted between 1% and 5%; actual occurrence rate 3.29%.
20000 probabilities forecasted between 5% and 10%; actual occurrence rate 13.12%.
44377 probabilities forecasted between 10% and 20%; actual occurrence rate 14.87%.
5623 probabilities forecasted between 20% and 30%; actual occurrence rate 2.12%.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</si>
  <si>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900 out of 900 symbols in sequence_heart1_test.mat.
Total penalty: 1010.985 bits (1.1233 bits per symbol).
Correctly predicted 73.778% of symbols.
5445 probabilities forecasted between 0% and 1%; actual occurrence rate 0.18%.
181 probabilities forecasted between 1% and 5%; actual occurrence rate 4.42%.
636 probabilities forecasted between 5% and 10%; actual occurrence rate 9.91%.
623 probabilities forecasted between 10% and 20%; actual occurrence rate 12.36%.
269 probabilities forecasted between 20% and 30%; actual occurrence rate 13.75%.
0 probabilities forecasted between 30% and 40%.
98 probabilities forecasted between 40% and 50%; actual occurrence rate 48.98%.
0 probabilities forecasted between 50% and 60%.
0 probabilities forecasted between 60% and 70%.
504 probabilities forecasted between 70% and 80%; actual occurrence rate 78.57%.
338 probabilities forecasted between 80% and 90%; actual occurrence rate 76.33%.
6 probabilities forecasted between 90% and 100%; actual occurrence rate 50.00%.</t>
  </si>
  <si>
    <t>Symbol Machine processed 10000 out of 10000 symbols in sequence_selfadapt_test.mat.
Total penalty: 38863.164 bits (3.8863 bits per symbol).
Correctly predicted 10.390% of symbols.
6389 probabilities forecasted between 0% and 1%; actual occurrence rate 3.98%.
29466 probabilities forecasted between 1% and 5%; actual occurrence rate 10.99%.
21791 probabilities forecasted between 5% and 10%; actual occurrence rate 12.89%.
12742 probabilities forecasted between 10% and 20%; actual occurrence rate 20.70%.
9612 probabilities forecasted between 20% and 30%; actual occurrence rate 0.26%.
8958 probabilities forecasted between 30% and 40%; actual occurrence rate 10.37%.
1042 probabilities forecasted between 40% and 50%; actual occurrence rate 10.56%.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</si>
  <si>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75014 out of 75014 symbols in sequence_Dickens_test.mat.
Total penalty: 203615.406 bits (2.7144 bits per symbol).
Correctly predicted 31.317% of symbols.
42836 probabilities forecasted between 0% and 1%; actual occurrence rate 0.49%.
133154 probabilities forecasted between 1% and 5%; actual occurrence rate 3.58%.
211673 probabilities forecasted between 5% and 10%; actual occurrence rate 7.03%.
217751 probabilities forecasted between 10% and 20%; actual occurrence rate 14.52%.
22025 probabilities forecasted between 20% and 30%; actual occurrence rate 23.58%.
21370 probabilities forecasted between 30% and 40%; actual occurrence rate 31.46%.
20992 probabilities forecasted between 40% and 50%; actual occurrence rate 41.46%.
5325 probabilities forecasted between 50% and 60%; actual occurrence rate 54.67%.
0 probabilities forecasted between 60% and 70%.
0 probabilities forecasted between 70% and 80%.
0 probabilities forecasted between 80% and 90%.
0 probabilities forecasted between 90% and 100%.</t>
  </si>
  <si>
    <t>500,100,100</t>
  </si>
  <si>
    <t>NAR_NN</t>
  </si>
  <si>
    <t>feedbackDelays</t>
  </si>
  <si>
    <t>hiddenLayers</t>
  </si>
  <si>
    <t>multichannel, stdev</t>
  </si>
  <si>
    <t>Symbol Machine processed 952 out of 952 symbols in sequence_solarWind_test.mat.
Total penalty: 951.064 bits (0.9990 bits per symbol).
Correctly predicted 79.097% of symbols.
4793 probabilities forecasted between 0% and 1%; actual occurrence rate 0.31%.
1297 probabilities forecasted between 1% and 5%; actual occurrence rate 1.00%.
1084 probabilities forecasted between 5% and 10%; actual occurrence rate 7.56%.
285 probabilities forecasted between 10% and 20%; actual occurrence rate 14.74%.
115 probabilities forecasted between 20% and 30%; actual occurrence rate 23.48%.
12 probabilities forecasted between 30% and 40%; actual occurrence rate 41.67%.
71 probabilities forecasted between 40% and 50%; actual occurrence rate 43.66%.
4 probabilities forecasted between 50% and 60%; actual occurrence rate 75.00%.
110 probabilities forecasted between 60% and 70%; actual occurrence rate 70.00%.
33 probabilities forecasted between 70% and 80%; actual occurrence rate 60.61%.
764 probabilities forecasted between 80% and 90%; actual occurrence rate 83.38%.
0 probabilities forecasted between 90% and 100%.</t>
  </si>
  <si>
    <t>1:2</t>
  </si>
  <si>
    <t>[10]</t>
  </si>
  <si>
    <t>Symbol Machine processed 900 out of 900 symbols in sequence_heart2_test.mat.
Total penalty: 1097.593 bits (1.2195 bits per symbol).
Correctly predicted 72.000% of symbols.
5486 probabilities forecasted between 0% and 1%; actual occurrence rate 0.27%.
49 probabilities forecasted between 1% and 5%; actual occurrence rate 0.00%.
526 probabilities forecasted between 5% and 10%; actual occurrence rate 9.70%.
1094 probabilities forecasted between 10% and 20%; actual occurrence rate 14.99%.
18 probabilities forecasted between 20% and 30%; actual occurrence rate 38.89%.
13 probabilities forecasted between 30% and 40%; actual occurrence rate 38.46%.
17 probabilities forecasted between 40% and 50%; actual occurrence rate 58.82%.
17 probabilities forecasted between 50% and 60%; actual occurrence rate 23.53%.
13 probabilities forecasted between 60% and 70%; actual occurrence rate 61.54%.
764 probabilities forecasted between 70% and 80%; actual occurrence rate 72.77%.
101 probabilities forecasted between 80% and 90%; actual occurrence rate 79.21%.
2 probabilities forecasted between 90% and 100%; actual occurrence rate 0.00%.</t>
  </si>
  <si>
    <t>[100]</t>
  </si>
  <si>
    <t>false, auto</t>
  </si>
  <si>
    <t>Symbol Machine processed 900 out of 900 symbols in sequence_heart2_test.mat.
Total penalty: 1188.988 bits (1.3211 bits per symbol).
Correctly predicted 72.889% of symbols.
5537 probabilities forecasted between 0% and 1%; actual occurrence rate 0.45%.
348 probabilities forecasted between 1% and 5%; actual occurrence rate 10.06%.
408 probabilities forecasted between 5% and 10%; actual occurrence rate 10.05%.
508 probabilities forecasted between 10% and 20%; actual occurrence rate 13.58%.
148 probabilities forecasted between 20% and 30%; actual occurrence rate 21.62%.
211 probabilities forecasted between 30% and 40%; actual occurrence rate 18.96%.
82 probabilities forecasted between 40% and 50%; actual occurrence rate 37.80%.
17 probabilities forecasted between 50% and 60%; actual occurrence rate 58.82%.
272 probabilities forecasted between 60% and 70%; actual occurrence rate 68.01%.
479 probabilities forecasted between 70% and 80%; actual occurrence rate 75.16%.
89 probabilities forecasted between 80% and 90%; actual occurrence rate 80.90%.
1 probabilities forecasted between 90% and 100%; actual occurrence rate 0.00%.</t>
  </si>
  <si>
    <t>[10 10]</t>
  </si>
  <si>
    <t>Symbol Machine processed 900 out of 900 symbols in sequence_heart2_test.mat.
Total penalty: 1353.373 bits (1.5037 bits per symbol).
Correctly predicted 72.889% of symbols.
5692 probabilities forecasted between 0% and 1%; actual occurrence rate 0.84%.
299 probabilities forecasted between 1% and 5%; actual occurrence rate 8.03%.
849 probabilities forecasted between 5% and 10%; actual occurrence rate 11.54%.
320 probabilities forecasted between 10% and 20%; actual occurrence rate 19.38%.
19 probabilities forecasted between 20% and 30%; actual occurrence rate 31.58%.
6 probabilities forecasted between 30% and 40%; actual occurrence rate 33.33%.
19 probabilities forecasted between 40% and 50%; actual occurrence rate 21.05%.
20 probabilities forecasted between 50% and 60%; actual occurrence rate 65.00%.
3 probabilities forecasted between 60% and 70%; actual occurrence rate 0.00%.
95 probabilities forecasted between 70% and 80%; actual occurrence rate 71.58%.
374 probabilities forecasted between 80% and 90%; actual occurrence rate 69.52%.
404 probabilities forecasted between 90% and 100%; actual occurrence rate 77.97%.</t>
  </si>
  <si>
    <t>false, 0.5</t>
  </si>
  <si>
    <t>Symbol Machine processed 900 out of 900 symbols in sequence_heart2_test.mat.
Total penalty: 1419.881 bits (1.5776 bits per symbol).
Correctly predicted 73.000% of symbols.
5712 probabilities forecasted between 0% and 1%; actual occurrence rate 0.77%.
566 probabilities forecasted between 1% and 5%; actual occurrence rate 7.77%.
717 probabilities forecasted between 5% and 10%; actual occurrence rate 14.37%.
159 probabilities forecasted between 10% and 20%; actual occurrence rate 23.27%.
17 probabilities forecasted between 20% and 30%; actual occurrence rate 35.29%.
13 probabilities forecasted between 30% and 40%; actual occurrence rate 38.46%.
17 probabilities forecasted between 40% and 50%; actual occurrence rate 23.53%.
17 probabilities forecasted between 50% and 60%; actual occurrence rate 58.82%.
15 probabilities forecasted between 60% and 70%; actual occurrence rate 53.33%.
136 probabilities forecasted between 70% and 80%; actual occurrence rate 71.32%.
349 probabilities forecasted between 80% and 90%; actual occurrence rate 69.91%.
382 probabilities forecasted between 90% and 100%; actual occurrence rate 78.01%.</t>
  </si>
  <si>
    <t>Symbol Machine processed 900 out of 900 symbols in sequence_heart2_test.mat.
Total penalty: 1541.812 bits (1.7131 bits per symbol).
Correctly predicted 72.778% of symbols.
5747 probabilities forecasted between 0% and 1%; actual occurrence rate 0.96%.
260 probabilities forecasted between 1% and 5%; actual occurrence rate 7.69%.
994 probabilities forecasted between 5% and 10%; actual occurrence rate 12.17%.
162 probabilities forecasted between 10% and 20%; actual occurrence rate 23.46%.
22 probabilities forecasted between 20% and 30%; actual occurrence rate 31.82%.
1 probabilities forecasted between 30% and 40%; actual occurrence rate 0.00%.
18 probabilities forecasted between 40% and 50%; actual occurrence rate 22.22%.
17 probabilities forecasted between 50% and 60%; actual occurrence rate 58.82%.
0 probabilities forecasted between 60% and 70%.
96 probabilities forecasted between 70% and 80%; actual occurrence rate 70.83%.
592 probabilities forecasted between 80% and 90%; actual occurrence rate 74.49%.
191 probabilities forecasted between 90% and 100%; actual occurrence rate 71.20%.</t>
  </si>
  <si>
    <t>Symbol Machine processed 900 out of 900 symbols in sequence_heart2_test.mat.
Total penalty: 1682.832 bits (1.8698 bits per symbol).
Correctly predicted 73.000% of symbols.
2631 probabilities forecasted between 0% and 1%; actual occurrence rate 0.11%.
1288 probabilities forecasted between 1% and 5%; actual occurrence rate 0.08%.
237 probabilities forecasted between 5% and 10%; actual occurrence rate 0.00%.
1423 probabilities forecasted between 10% and 20%; actual occurrence rate 1.05%.
2066 probabilities forecasted between 20% and 30%; actual occurrence rate 28.07%.
351 probabilities forecasted between 30% and 40%; actual occurrence rate 62.96%.
103 probabilities forecasted between 40% and 50%; actual occurrence rate 77.67%.
0 probabilities forecasted between 50% and 60%.
1 probabilities forecasted between 60% and 70%; actual occurrence rate 0.00%.
0 probabilities forecasted between 70% and 80%.
0 probabilities forecasted between 80% and 90%.
0 probabilities forecasted between 90% and 100%.</t>
  </si>
  <si>
    <t>Symbol Machine processed 900 out of 900 symbols in sequence_heart2_test.mat.
Total penalty: 1668.934 bits (1.8544 bits per symbol).
Correctly predicted 72.222% of symbols.
2662 probabilities forecasted between 0% and 1%; actual occurrence rate 0.00%.
1262 probabilities forecasted between 1% and 5%; actual occurrence rate 0.08%.
178 probabilities forecasted between 5% and 10%; actual occurrence rate 1.12%.
1454 probabilities forecasted between 10% and 20%; actual occurrence rate 1.24%.
2110 probabilities forecasted between 20% and 30%; actual occurrence rate 27.87%.
333 probabilities forecasted between 30% and 40%; actual occurrence rate 63.36%.
101 probabilities forecasted between 40% and 50%; actual occurrence rate 79.21%.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</si>
  <si>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900 out of 900 symbols in sequence_heart2_test.mat.
Total penalty: 1730.141 bits (1.9224 bits per symbol).
Correctly predicted 69.556% of symbols.
4149 probabilities forecasted between 0% and 1%; actual occurrence rate 1.37%.
1361 probabilities forecasted between 1% and 5%; actual occurrence rate 2.35%.
771 probabilities forecasted between 5% and 10%; actual occurrence rate 7.00%.
641 probabilities forecasted between 10% and 20%; actual occurrence rate 11.39%.
217 probabilities forecasted between 20% and 30%; actual occurrence rate 19.82%.
79 probabilities forecasted between 30% and 40%; actual occurrence rate 24.05%.
74 probabilities forecasted between 40% and 50%; actual occurrence rate 44.59%.
82 probabilities forecasted between 50% and 60%; actual occurrence rate 62.20%.
127 probabilities forecasted between 60% and 70%; actual occurrence rate 66.14%.
321 probabilities forecasted between 70% and 80%; actual occurrence rate 71.65%.
266 probabilities forecasted between 80% and 90%; actual occurrence rate 80.08%.
12 probabilities forecasted between 90% and 100%; actual occurrence rate 91.67%.</t>
  </si>
  <si>
    <t>Symbol Machine processed 900 out of 900 symbols in sequence_heart1_test.mat.
Total penalty: 1532.616 bits (1.7029 bits per symbol).
Correctly predicted 60.000% of symbols.
5404 probabilities forecasted between 0% and 1%; actual occurrence rate 0.52%.
339 probabilities forecasted between 1% and 5%; actual occurrence rate 9.14%.
550 probabilities forecasted between 5% and 10%; actual occurrence rate 16.55%.
560 probabilities forecasted between 10% and 20%; actual occurrence rate 18.75%.
201 probabilities forecasted between 20% and 30%; actual occurrence rate 22.39%.
34 probabilities forecasted between 30% and 40%; actual occurrence rate 26.47%.
113 probabilities forecasted between 40% and 50%; actual occurrence rate 45.13%.
113 probabilities forecasted between 50% and 60%; actual occurrence rate 43.36%.
61 probabilities forecasted between 60% and 70%; actual occurrence rate 60.66%.
724 probabilities forecasted between 70% and 80%; actual occurrence rate 62.71%.
1 probabilities forecasted between 80% and 90%; actual occurrence rate 0.00%.
0 probabilities forecasted between 90% and 100%.</t>
  </si>
  <si>
    <t>Symbol Machine processed 900 out of 900 symbols in sequence_heart1_test.mat.
Total penalty: 1667.097 bits (1.8523 bits per symbol).
Correctly predicted 62.444% of symbols.
2437 probabilities forecasted between 0% and 1%; actual occurrence rate 0.37%.
1441 probabilities forecasted between 1% and 5%; actual occurrence rate 0.21%.
1225 probabilities forecasted between 5% and 10%; actual occurrence rate 0.73%.
392 probabilities forecasted between 10% and 20%; actual occurrence rate 2.04%.
1645 probabilities forecasted between 20% and 30%; actual occurrence rate 17.99%.
948 probabilities forecasted between 30% and 40%; actual occurrence rate 60.02%.
8 probabilities forecasted between 40% and 50%; actual occurrence rate 75.00%.
1 probabilities forecasted between 50% and 60%; actual occurrence rate 0.00%.
2 probabilities forecasted between 60% and 70%; actual occurrence rate 0.00%.
0 probabilities forecasted between 70% and 80%.
1 probabilities forecasted between 80% and 90%; actual occurrence rate 0.00%.
0 probabilities forecasted between 90% and 100%.</t>
  </si>
  <si>
    <t>[9 50 9]</t>
  </si>
  <si>
    <t>Symbol Machine processed 900 out of 900 symbols in sequence_heart1_test.mat.
Total penalty: 1706.893 bits (1.8965 bits per symbol).
Correctly predicted 59.667% of symbols.
4423 probabilities forecasted between 0% and 1%; actual occurrence rate 0.66%.
1152 probabilities forecasted between 1% and 5%; actual occurrence rate 3.99%.
639 probabilities forecasted between 5% and 10%; actual occurrence rate 12.99%.
785 probabilities forecasted between 10% and 20%; actual occurrence rate 20.38%.
198 probabilities forecasted between 20% and 30%; actual occurrence rate 22.73%.
11 probabilities forecasted between 30% and 40%; actual occurrence rate 9.09%.
43 probabilities forecasted between 40% and 50%; actual occurrence rate 25.58%.
38 probabilities forecasted between 50% and 60%; actual occurrence rate 68.42%.
188 probabilities forecasted between 60% and 70%; actual occurrence rate 68.09%.
330 probabilities forecasted between 70% and 80%; actual occurrence rate 58.18%.
293 probabilities forecasted between 80% and 90%; actual occurrence rate 61.09%.
0 probabilities forecasted between 90% and 100%.</t>
  </si>
  <si>
    <t>Symbol Machine processed 900 out of 900 symbols in sequence_heart1_test.mat.
Total penalty: 1726.552 bits (1.9184 bits per symbol).
Correctly predicted 60.111% of symbols.
5204 probabilities forecasted between 0% and 1%; actual occurrence rate 0.88%.
527 probabilities forecasted between 1% and 5%; actual occurrence rate 6.45%.
618 probabilities forecasted between 5% and 10%; actual occurrence rate 14.08%.
666 probabilities forecasted between 10% and 20%; actual occurrence rate 18.47%.
132 probabilities forecasted between 20% and 30%; actual occurrence rate 28.79%.
63 probabilities forecasted between 30% and 40%; actual occurrence rate 57.14%.
5 probabilities forecasted between 40% and 50%; actual occurrence rate 60.00%.
2 probabilities forecasted between 50% and 60%; actual occurrence rate 0.00%.
69 probabilities forecasted between 60% and 70%; actual occurrence rate 31.88%.
443 probabilities forecasted between 70% and 80%; actual occurrence rate 64.79%.
335 probabilities forecasted between 80% and 90%; actual occurrence rate 60.60%.
36 probabilities forecasted between 90% and 100%; actual occurrence rate 58.33%.</t>
  </si>
  <si>
    <t>Symbol Machine processed 3287 out of 3287 symbols in sequence_DIAwind_test.mat.
Total penalty: 6451.225 bits (1.9626 bits per symbol).
Correctly predicted 45.634% of symbols.
12115 probabilities forecasted between 0% and 1%; actual occurrence rate 0.36%.
4665 probabilities forecasted between 1% and 5%; actual occurrence rate 2.55%.
3572 probabilities forecasted between 5% and 10%; actual occurrence rate 8.79%.
2414 probabilities forecasted between 10% and 20%; actual occurrence rate 10.69%.
2127 probabilities forecasted between 20% and 30%; actual occurrence rate 28.30%.
1957 probabilities forecasted between 30% and 40%; actual occurrence rate 33.42%.
1746 probabilities forecasted between 40% and 50%; actual occurrence rate 46.62%.
987 probabilities forecasted between 50% and 60%; actual occurrence rate 48.83%.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</si>
  <si>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sequence_DIAtemp_test.mat.
Total penalty: 6758.492 bits (2.0561 bits per symbol).
Correctly predicted 43.353% of symbols.
15001 probabilities forecasted between 0% and 1%; actual occurrence rate 0.65%.
3691 probabilities forecasted between 1% and 5%; actual occurrence rate 5.07%.
1922 probabilities forecasted between 5% and 10%; actual occurrence rate 9.16%.
1634 probabilities forecasted between 10% and 20%; actual occurrence rate 16.34%.
2822 probabilities forecasted between 20% and 30%; actual occurrence rate 24.98%.
1656 probabilities forecasted between 30% and 40%; actual occurrence rate 36.23%.
1463 probabilities forecasted between 40% and 50%; actual occurrence rate 34.31%.
748 probabilities forecasted between 50% and 60%; actual occurrence rate 42.78%.
157 probabilities forecasted between 60% and 70%; actual occurrence rate 62.42%.
482 probabilities forecasted between 70% and 80%; actual occurrence rate 68.26%.
7 probabilities forecasted between 80% and 90%; actual occurrence rate 85.71%.
0 probabilities forecasted between 90% and 100%.</t>
  </si>
  <si>
    <t>Symbol Machine processed 5654 out of 5654 symbols in sequence_Hawaiian_test.mat.
Total penalty: 17432.941 bits (3.0833 bits per symbol).
Correctly predicted 41.051% of symbols.
16083 probabilities forecasted between 0% and 1%; actual occurrence rate 4.46%.
17087 probabilities forecasted between 1% and 5%; actual occurrence rate 3.96%.
5637 probabilities forecasted between 5% and 10%; actual occurrence rate 4.24%.
2887 probabilities forecasted between 10% and 20%; actual occurrence rate 20.57%.
4381 probabilities forecasted between 20% and 30%; actual occurrence rate 38.01%.
431 probabilities forecasted between 30% and 40%; actual occurrence rate 31.79%.
558 probabilities forecasted between 40% and 50%; actual occurrence rate 33.15%.
893 probabilities forecasted between 50% and 60%; actual occurrence rate 23.07%.
1537 probabilities forecasted between 60% and 70%; actual occurrence rate 55.11%.
235 probabilities forecasted between 70% and 80%; actual occurrence rate 37.45%.
247 probabilities forecasted between 80% and 90%; actual occurrence rate 18.22%.
910 probabilities forecasted between 90% and 100%; actual occurrence rate 27.91%.</t>
  </si>
  <si>
    <t>Symbol Machine processed 10000 out of 10000 symbols in sequence_uniform_test.mat.
Total penalty: 32117.952 bits (3.2118 bits per symbol).
Correctly predicted 11.160% of symbols.
4 probabilities forecasted between 0% and 1%; actual occurrence rate 25.00%.
324 probabilities forecasted between 1% and 5%; actual occurrence rate 11.73%.
27739 probabilities forecasted between 5% and 10%; actual occurrence rate 11.40%.
61930 probabilities forecasted between 10% and 20%; actual occurrence rate 10.98%.
2 probabilities forecasted between 20% and 30%; actual occurrence rate 0.00%.
1 probabilities forecasted between 30% and 40%; actual occurrence rate 0.00%.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</si>
  <si>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sequence_selfadapt_test.mat.
Total penalty: 33163.557 bits (3.3164 bits per symbol).
Correctly predicted 10.730% of symbols.
0 probabilities forecasted between 0% and 1%.
19998 probabilities forecasted between 1% and 5%; actual occurrence rate 8.26%.
13633 probabilities forecasted between 5% and 10%; actual occurrence rate 14.86%.
56369 probabilities forecasted between 10% and 20%; actual occurrence rate 11.22%.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</si>
  <si>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sequence_selfadapt_test.mat.
Total penalty: 57520.485 bits (5.7520 bits per symbol).
Correctly predicted 13.940% of symbols.
35019 probabilities forecasted between 0% and 1%; actual occurrence rate 10.70%.
14913 probabilities forecasted between 1% and 5%; actual occurrence rate 1.46%.
6863 probabilities forecasted between 5% and 10%; actual occurrence rate 6.05%.
11282 probabilities forecasted between 10% and 20%; actual occurrence rate 9.01%.
6335 probabilities forecasted between 20% and 30%; actual occurrence rate 28.43%.
15384 probabilities forecasted between 30% and 40%; actual occurrence rate 18.09%.
204 probabilities forecasted between 40% and 50%; actual occurrence rate 9.31%.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</si>
  <si>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sequence_selfadapt_test.mat.
Total penalty: 39027.222 bits (3.9027 bits per symbol).
Correctly predicted 8.800% of symbols.
9327 probabilities forecasted between 0% and 1%; actual occurrence rate 4.29%.
23885 probabilities forecasted between 1% and 5%; actual occurrence rate 11.72%.
21671 probabilities forecasted between 5% and 10%; actual occurrence rate 11.84%.
16970 probabilities forecasted between 10% and 20%; actual occurrence rate 19.13%.
9155 probabilities forecasted between 20% and 30%; actual occurrence rate 2.29%.
7929 probabilities forecasted between 30% and 40%; actual occurrence rate 8.21%.
1006 probabilities forecasted between 40% and 50%; actual occurrence rate 11.53%.
57 probabilities forecasted between 50% and 60%; actual occurrence rate 21.05%.
0 probabilities forecasted between 60% and 70%.
0 probabilities forecasted between 70% and 80%.
0 probabilities forecasted between 80% and 90%.
0 probabilities forecasted between 90% and 100%.</t>
  </si>
  <si>
    <t>false, 1</t>
  </si>
  <si>
    <t>Symbol Machine processed 10000 out of 10000 symbols in sequence_nonuniform_test.mat.
Total penalty: 32641.158 bits (3.2641 bits per symbol).
Correctly predicted 3.030% of symbols.
35 probabilities forecasted between 0% and 1%; actual occurrence rate 0.00%.
14730 probabilities forecasted between 1% and 5%; actual occurrence rate 3.41%.
23954 probabilities forecasted between 5% and 10%; actual occurrence rate 11.58%.
48177 probabilities forecasted between 10% and 20%; actual occurrence rate 13.76%.
3104 probabilities forecasted between 20% and 30%; actual occurrence rate 3.06%.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</si>
  <si>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RegressionLearner</t>
  </si>
  <si>
    <t>stdev</t>
  </si>
  <si>
    <t>time predictor</t>
  </si>
  <si>
    <t>num taps</t>
  </si>
  <si>
    <t>Symbol Machine processed 952 out of 952 symbols in sequence_solarWind_test.mat.
Total penalty: 2193.645 bits (2.3042 bits per symbol).
Correctly predicted 85.714% of symbols.
7616 probabilities forecasted between 0% and 1%; actual occurrence rate 1.79%.
0 probabilities forecasted between 1% and 5%.
0 probabilities forecasted between 5% and 10%.
0 probabilities forecasted between 10% and 20%.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952 probabilities forecasted between 90% and 100%; actual occurrence rate 85.71%.</t>
  </si>
  <si>
    <t>auto</t>
  </si>
  <si>
    <t>Symbol Machine processed 900 out of 900 symbols in sequence_heart2_test.mat.
Total penalty: 2672.817 bits (2.9698 bits per symbol).
Correctly predicted 81.556% of symbols.
7200 probabilities forecasted between 0% and 1%; actual occurrence rate 2.31%.
0 probabilities forecasted between 1% and 5%.
0 probabilities forecasted between 5% and 10%.
0 probabilities forecasted between 10% and 20%.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900 probabilities forecasted between 90% and 100%; actual occurrence rate 81.56%.</t>
  </si>
  <si>
    <t>Symbol Machine processed 900 out of 900 symbols in sequence_heart1_test.mat.
Total penalty: 3189.791 bits (3.5442 bits per symbol).
Correctly predicted 77.667% of symbols.
7200 probabilities forecasted between 0% and 1%; actual occurrence rate 2.79%.
0 probabilities forecasted between 1% and 5%.
0 probabilities forecasted between 5% and 10%.
0 probabilities forecasted between 10% and 20%.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900 probabilities forecasted between 90% and 100%; actual occurrence rate 77.67%.</t>
  </si>
  <si>
    <t>Symbol Machine processed 3287 out of 3287 symbols in sequence_DIAwind_test.mat.
Total penalty: 8125.257 bits (2.4719 bits per symbol).
Correctly predicted 44.448% of symbols.
19722 probabilities forecasted between 0% and 1%; actual occurrence rate 1.84%.
0 probabilities forecasted between 1% and 5%.
0 probabilities forecasted between 5% and 10%.
6574 probabilities forecasted between 10% and 20%; actual occurrence rate 22.27%.
0 probabilities forecasted between 20% and 30%.
0 probabilities forecasted between 30% and 40%.
0 probabilities forecasted between 40% and 50%.
0 probabilities forecasted between 50% and 60%.
3287 probabilities forecasted between 60% and 70%; actual occurrence rate 44.45%.
0 probabilities forecasted between 70% and 80%.
0 probabilities forecasted between 80% and 90%.
0 probabilities forecasted between 90% and 100%.</t>
  </si>
  <si>
    <t>Symbol Machine processed 3287 out of 3287 symbols in sequence_DIAtemp_test.mat.
Total penalty: 22996.685 bits (6.9963 bits per symbol).
Correctly predicted 50.928% of symbols.
26296 probabilities forecasted between 0% and 1%; actual occurrence rate 6.13%.
0 probabilities forecasted between 1% and 5%.
0 probabilities forecasted between 5% and 10%.
0 probabilities forecasted between 10% and 20%.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3287 probabilities forecasted between 90% and 100%; actual occurrence rate 50.93%.</t>
  </si>
  <si>
    <t>Symbol Machine processed 5654 out of 5654 symbols in sequence_Hawaiian_test.mat.
Total penalty: 18489.948 bits (3.2702 bits per symbol).
Correctly predicted 17.651% of symbols.
0 probabilities forecasted between 0% and 1%.
1914 probabilities forecasted between 1% and 5%; actual occurrence rate 4.13%.
11677 probabilities forecasted between 5% and 10%; actual occurrence rate 18.85%.
37295 probabilities forecasted between 10% and 20%; actual occurrence rate 9.05%.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</si>
  <si>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29146.080 bits (2.9146 bits per symbol).
Correctly predicted 17.630% of symbols.
10000 probabilities forecasted between 0% and 1%; actual occurrence rate 2.22%.
10000 probabilities forecasted between 1% and 5%; actual occurrence rate 4.37%.
20000 probabilities forecasted between 5% and 10%; actual occurrence rate 5.29%.
40000 probabilities forecasted between 10% and 20%; actual occurrence rate 16.30%.
10000 probabilities forecasted between 20% and 30%; actual occurrence rate 17.63%.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</si>
  <si>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sequence_uniform_test.mat.
Total penalty: 33684.973 bits (3.3685 bits per symbol).
Correctly predicted 11.460% of symbols.
0 probabilities forecasted between 0% and 1%.
20000 probabilities forecasted between 1% and 5%; actual occurrence rate 10.93%.
20000 probabilities forecasted between 5% and 10%; actual occurrence rate 10.85%.
50000 probabilities forecasted between 10% and 20%; actual occurrence rate 11.29%.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</si>
  <si>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sequence_selfadapt_test.mat.
Total penalty: 36504.054 bits (3.6504 bits per symbol).
Correctly predicted 9.050% of symbols.
9612 probabilities forecasted between 0% and 1%; actual occurrence rate 6.10%.
20000 probabilities forecasted between 1% and 5%; actual occurrence rate 14.44%.
10388 probabilities forecasted between 5% and 10%; actual occurrence rate 4.23%.
40388 probabilities forecasted between 10% and 20%; actual occurrence rate 13.18%.
9612 probabilities forecasted between 20% and 30%; actual occurrence rate 7.95%.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</si>
  <si>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sequence_DIAtemp_test.mat.
Total penalty: 7092.575 bits (2.1578 bits per symbol).
Correctly predicted 51.110% of symbols.
19723 probabilities forecasted between 0% and 1%; actual occurrence rate 1.11%.
0 probabilities forecasted between 1% and 5%.
0 probabilities forecasted between 5% and 10%.
6573 probabilities forecasted between 10% and 20%; actual occurrence rate 21.13%.
0 probabilities forecasted between 20% and 30%.
0 probabilities forecasted between 30% and 40%.
0 probabilities forecasted between 40% and 50%.
0 probabilities forecasted between 50% and 60%.
0 probabilities forecasted between 60% and 70%.
3286 probabilities forecasted between 70% and 80%; actual occurrence rate 51.13%.
1 probabilities forecasted between 80% and 90%; actual occurrence rate 0.00%.
0 probabilities forecasted between 90% and 100%.</t>
  </si>
  <si>
    <t>Symbol Machine processed 5654 out of 5654 symbols in sequence_Hawaiian_test.mat.
Total penalty: 18377.101 bits (3.2503 bits per symbol).
Correctly predicted 17.952% of symbols.
0 probabilities forecasted between 0% and 1%.
7765 probabilities forecasted between 1% and 5%; actual occurrence rate 12.44%.
14404 probabilities forecasted between 5% and 10%; actual occurrence rate 15.52%.
26877 probabilities forecasted between 10% and 20%; actual occurrence rate 5.87%.
1840 probabilities forecasted between 20% and 30%; actual occurrence rate 47.61%.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</si>
  <si>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5654 out of 5654 symbols in sequence_Hawaiian_test.mat.
Total penalty: 17839.692 bits (3.1552 bits per symbol).
Correctly predicted 24.726% of symbols.
0 probabilities forecasted between 0% and 1%.
6647 probabilities forecasted between 1% and 5%; actual occurrence rate 7.28%.
14305 probabilities forecasted between 5% and 10%; actual occurrence rate 10.84%.
27440 probabilities forecasted between 10% and 20%; actual occurrence rate 8.85%.
2494 probabilities forecasted between 20% and 30%; actual occurrence rate 47.79%.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</si>
  <si>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5654 out of 5654 symbols in sequence_Hawaiian_test.mat.
Total penalty: 17827.064 bits (3.1530 bits per symbol).
Correctly predicted 31.942% of symbols.
0 probabilities forecasted between 0% and 1%.
8962 probabilities forecasted between 1% and 5%; actual occurrence rate 7.43%.
10578 probabilities forecasted between 5% and 10%; actual occurrence rate 8.76%.
29432 probabilities forecasted between 10% and 20%; actual occurrence rate 8.30%.
1914 probabilities forecasted between 20% and 30%; actual occurrence rate 84.48%.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</si>
  <si>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5654 out of 5654 symbols in sequence_Hawaiian_test.mat.
Total penalty: 17964.024 bits (3.1772 bits per symbol).
Correctly predicted 38.309% of symbols.
0 probabilities forecasted between 0% and 1%.
7763 probabilities forecasted between 1% and 5%; actual occurrence rate 10.90%.
12144 probabilities forecasted between 5% and 10%; actual occurrence rate 6.69%.
28443 probabilities forecasted between 10% and 20%; actual occurrence rate 7.08%.
2536 probabilities forecasted between 20% and 30%; actual occurrence rate 78.15%.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</si>
  <si>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5654 out of 5654 symbols in sequence_Hawaiian_test.mat.
Total penalty: 18287.294 bits (3.2344 bits per symbol).
Correctly predicted 40.750% of symbols.
0 probabilities forecasted between 0% and 1%.
8325 probabilities forecasted between 1% and 5%; actual occurrence rate 12.24%.
12076 probabilities forecasted between 5% and 10%; actual occurrence rate 6.24%.
30485 probabilities forecasted between 10% and 20%; actual occurrence rate 12.73%.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</si>
  <si>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5654 out of 5654 symbols in sequence_Hawaiian_test.mat.
Total penalty: 18519.562 bits (3.2755 bits per symbol).
Correctly predicted 39.954% of symbols.
0 probabilities forecasted between 0% and 1%.
8343 probabilities forecasted between 1% and 5%; actual occurrence rate 12.89%.
11308 probabilities forecasted between 5% and 10%; actual occurrence rate 6.94%.
31235 probabilities forecasted between 10% and 20%; actual occurrence rate 12.15%.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</si>
  <si>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75014 out of 75014 symbols in sequence_Dickens_test.mat.
Total penalty: 245324.186 bits (3.2704 bits per symbol).
Correctly predicted 13.359% of symbols.
0 probabilities forecasted between 0% and 1%.
50229 probabilities forecasted between 1% and 5%; actual occurrence rate 5.67%.
234414 probabilities forecasted between 5% and 10%; actual occurrence rate 13.54%.
390483 probabilities forecasted between 10% and 20%; actual occurrence rate 10.35%.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</si>
  <si>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RegressionLearner_MC</t>
  </si>
  <si>
    <t>Symbol Machine processed 3287 out of 3287 symbols in sequence_DIAtemp_test.mat.
Total penalty: 6827.571 bits (2.0771 bits per symbol).
Correctly predicted 50.593% of symbols.
9824 probabilities forecasted between 0% and 1%; actual occurrence rate 0.30%.
3151 probabilities forecasted between 1% and 5%; actual occurrence rate 2.73%.
5547 probabilities forecasted between 5% and 10%; actual occurrence rate 7.57%.
7772 probabilities forecasted between 10% and 20%; actual occurrence rate 14.01%.
8 probabilities forecasted between 20% and 30%; actual occurrence rate 12.50%.
159 probabilities forecasted between 30% and 40%; actual occurrence rate 35.22%.
1753 probabilities forecasted between 40% and 50%; actual occurrence rate 41.59%.
1369 probabilities forecasted between 50% and 60%; actual occurrence rate 64.06%.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</si>
  <si>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sequence_DIAwind_test.mat.
Total penalty: 6232.615 bits (1.8961 bits per symbol).
Correctly predicted 46.669% of symbols.
13103 probabilities forecasted between 0% and 1%; actual occurrence rate 0.37%.
3223 probabilities forecasted between 1% and 5%; actual occurrence rate 1.83%.
4929 probabilities forecasted between 5% and 10%; actual occurrence rate 8.64%.
1423 probabilities forecasted between 10% and 20%; actual occurrence rate 10.12%.
2599 probabilities forecasted between 20% and 30%; actual occurrence rate 27.63%.
1350 probabilities forecasted between 30% and 40%; actual occurrence rate 39.33%.
2956 probabilities forecasted between 40% and 50%; actual occurrence rate 46.04%.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</si>
  <si>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5654 out of 5654 symbols in sequence_Hawaiian_test.mat.
Total penalty: 11361.453 bits (2.0095 bits per symbol).
Correctly predicted 50.973% of symbols.
4663 probabilities forecasted between 0% and 1%; actual occurrence rate 1.20%.
29553 probabilities forecasted between 1% and 5%; actual occurrence rate 2.76%.
5362 probabilities forecasted between 5% and 10%; actual occurrence rate 5.45%.
0 probabilities forecasted between 10% and 20%.
2089 probabilities forecasted between 20% and 30%; actual occurrence rate 19.91%.
3565 probabilities forecasted between 30% and 40%; actual occurrence rate 33.46%.
5654 probabilities forecasted between 40% and 50%; actual occurrence rate 50.97%.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</si>
  <si>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900 out of 900 symbols in sequence_heart1_test.mat.
Total penalty: 1211.229 bits (1.3458 bits per symbol).
Correctly predicted 77.222% of symbols.
3499 probabilities forecasted between 0% and 1%; actual occurrence rate 0.69%.
1566 probabilities forecasted between 1% and 5%; actual occurrence rate 3.07%.
2059 probabilities forecasted between 5% and 10%; actual occurrence rate 6.36%.
58 probabilities forecasted between 10% and 20%; actual occurrence rate 1.72%.
27 probabilities forecasted between 20% and 30%; actual occurrence rate 3.70%.
0 probabilities forecasted between 30% and 40%.
0 probabilities forecasted between 40% and 50%.
0 probabilities forecasted between 50% and 60%.
49 probabilities forecasted between 60% and 70%; actual occurrence rate 83.67%.
404 probabilities forecasted between 70% and 80%; actual occurrence rate 77.72%.
438 probabilities forecasted between 80% and 90%; actual occurrence rate 77.63%.
0 probabilities forecasted between 90% and 100%.</t>
  </si>
  <si>
    <t>Symbol Machine processed 900 out of 900 symbols in sequence_heart2_test.mat.
Total penalty: 1026.049 bits (1.1401 bits per symbol).
Correctly predicted 81.444% of symbols.
3672 probabilities forecasted between 0% and 1%; actual occurrence rate 0.46%.
2978 probabilities forecasted between 1% and 5%; actual occurrence rate 4.40%.
547 probabilities forecasted between 5% and 10%; actual occurrence rate 3.29%.
2 probabilities forecasted between 10% and 20%; actual occurrence rate 0.00%.
1 probabilities forecasted between 20% and 30%; actual occurrence rate 100.00%.
1 probabilities forecasted between 30% and 40%; actual occurrence rate 0.00%.
0 probabilities forecasted between 40% and 50%.
0 probabilities forecasted between 50% and 60%.
0 probabilities forecasted between 60% and 70%.
0 probabilities forecasted between 70% and 80%.
899 probabilities forecasted between 80% and 90%; actual occurrence rate 81.54%.
0 probabilities forecasted between 90% and 100%.</t>
  </si>
  <si>
    <t>Symbol Machine processed 10000 out of 10000 symbols in sequence_nonuniform_test.mat.
Total penalty: 32774.136 bits (3.2774 bits per symbol).
Correctly predicted 2.040% of symbols.
0 probabilities forecasted between 0% and 1%.
20000 probabilities forecasted between 1% and 5%; actual occurrence rate 3.29%.
20000 probabilities forecasted between 5% and 10%; actual occurrence rate 13.12%.
47377 probabilities forecasted between 10% and 20%; actual occurrence rate 14.07%.
2623 probabilities forecasted between 20% and 30%; actual occurrence rate 1.98%.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</si>
  <si>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sequence_selfadapt_test.mat.
Total penalty: 37715.040 bits (3.7715 bits per symbol).
Correctly predicted 10.390% of symbols.
10000 probabilities forecasted between 0% and 1%; actual occurrence rate 3.88%.
30000 probabilities forecasted between 1% and 5%; actual occurrence rate 11.79%.
20000 probabilities forecasted between 5% and 10%; actual occurrence rate 7.00%.
10000 probabilities forecasted between 10% and 20%; actual occurrence rate 36.12%.
10000 probabilities forecasted between 20% and 30%; actual occurrence rate 0.25%.
10000 probabilities forecasted between 30% and 40%; actual occurrence rate 10.39%.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</si>
  <si>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952 out of 952 symbols in sequence_solarWind_test.mat.
Total penalty: 886.329 bits (0.9310 bits per symbol).
Correctly predicted 85.714% of symbols.
951 probabilities forecasted between 0% and 1%; actual occurrence rate 0.00%.
6387 probabilities forecasted between 1% and 5%; actual occurrence rate 1.63%.
275 probabilities forecasted between 5% and 10%; actual occurrence rate 11.27%.
2 probabilities forecasted between 10% and 20%; actual occurrence rate 50.00%.
2 probabilities forecasted between 20% and 30%; actual occurrence rate 0.00%.
0 probabilities forecasted between 30% and 40%.
0 probabilities forecasted between 40% and 50%.
0 probabilities forecasted between 50% and 60%.
0 probabilities forecasted between 60% and 70%.
140 probabilities forecasted between 70% and 80%; actual occurrence rate 72.14%.
811 probabilities forecasted between 80% and 90%; actual occurrence rate 88.16%.
0 probabilities forecasted between 90% and 100%.</t>
  </si>
  <si>
    <t>Symbol Machine processed 10000 out of 10000 symbols in sequence_uniform_test.mat.
Total penalty: 31705.641 bits (3.1706 bits per symbol).
Correctly predicted 11.470% of symbols.
0 probabilities forecasted between 0% and 1%.
0 probabilities forecasted between 1% and 5%.
0 probabilities forecasted between 5% and 10%.
90000 probabilities forecasted between 10% and 20%; actual occurrence rate 11.11%.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</si>
  <si>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All Stats</t>
  </si>
  <si>
    <t>Last row:</t>
  </si>
  <si>
    <t>New rows should be pasted here after they've been added to the relevant sheet.</t>
  </si>
  <si>
    <r>
      <t xml:space="preserve">Best of each sequence in </t>
    </r>
    <r>
      <rPr>
        <i/>
        <sz val="11"/>
        <color theme="1"/>
        <rFont val="Calibri"/>
        <family val="2"/>
        <scheme val="minor"/>
      </rPr>
      <t>Bits per Symbol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Correctly Predicted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Bit Penalty per Fraction Correctly Predicted</t>
    </r>
    <r>
      <rPr>
        <sz val="11"/>
        <color theme="1"/>
        <rFont val="Calibri"/>
        <family val="2"/>
        <scheme val="minor"/>
      </rPr>
      <t>.</t>
    </r>
  </si>
  <si>
    <t>Automatically Updates from "Compare All"</t>
  </si>
  <si>
    <t>Duplicate?</t>
  </si>
  <si>
    <t>Symbol Machine processed 10000 out of 10000 symbols in sequence_nonuniform_test.mat.
Total penalty: 32034.809 bits (3.2035 bits per symbol).
Correctly predicted 11.290% of symbols.
6276 probabilities forecasted between 0% and 1%; actual occurrence rate 3.06%.
16545 probabilities forecasted between 1% and 5%; actual occurrence rate 4.61%.
11497 probabilities forecasted between 5% and 10%; actual occurrence rate 11.66%.
52942 probabilities forecasted between 10% and 20%; actual occurrence rate 14.15%.
2740 probabilities forecasted between 20% and 30%; actual occurrence rate 7.81%.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</si>
  <si>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sequence_DIAwind_test.mat.
Total penalty: 6251.726 bits (1.9020 bits per symbol).
Correctly predicted 46.760% of symbols.
11647 probabilities forecasted between 0% and 1%; actual occurrence rate 0.27%.
5391 probabilities forecasted between 1% and 5%; actual occurrence rate 2.00%.
3284 probabilities forecasted between 5% and 10%; actual occurrence rate 8.13%.
2558 probabilities forecasted between 10% and 20%; actual occurrence rate 12.78%.
1782 probabilities forecasted between 20% and 30%; actual occurrence rate 25.93%.
2104 probabilities forecasted between 30% and 40%; actual occurrence rate 34.60%.
1781 probabilities forecasted between 40% and 50%; actual occurrence rate 44.64%.
950 probabilities forecasted between 50% and 60%; actual occurrence rate 54.11%.
85 probabilities forecasted between 60% and 70%; actual occurrence rate 64.71%.
1 probabilities forecasted between 70% and 80%; actual occurrence rate 0.00%.
0 probabilities forecasted between 80% and 90%.
0 probabilities forecasted between 90% and 100%.</t>
  </si>
  <si>
    <t>Symbol Machine processed 900 out of 900 symbols in sequence_heart1_test.mat.
Total penalty: 1092.646 bits (1.2141 bits per symbol).
Correctly predicted 76.222% of symbols.
4281 probabilities forecasted between 0% and 1%; actual occurrence rate 0.14%.
1187 probabilities forecasted between 1% and 5%; actual occurrence rate 1.85%.
680 probabilities forecasted between 5% and 10%; actual occurrence rate 6.32%.
581 probabilities forecasted between 10% and 20%; actual occurrence rate 13.08%.
310 probabilities forecasted between 20% and 30%; actual occurrence rate 12.26%.
150 probabilities forecasted between 30% and 40%; actual occurrence rate 16.67%.
121 probabilities forecasted between 40% and 50%; actual occurrence rate 65.29%.
126 probabilities forecasted between 50% and 60%; actual occurrence rate 72.22%.
246 probabilities forecasted between 60% and 70%; actual occurrence rate 78.86%.
354 probabilities forecasted between 70% and 80%; actual occurrence rate 78.53%.
57 probabilities forecasted between 80% and 90%; actual occurrence rate 73.68%.
7 probabilities forecasted between 90% and 100%; actual occurrence rate 85.71%.</t>
  </si>
  <si>
    <t>Baseline Bits per Symbol</t>
  </si>
  <si>
    <t>Below Baseline?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</si>
</sst>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%"/>
    <numFmt numFmtId="166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10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fill"/>
    </xf>
    <xf numFmtId="165" fontId="0" fillId="0" borderId="0" xfId="42" applyNumberFormat="1" applyFont="1" applyAlignment="1"/>
    <xf numFmtId="166" fontId="0" fillId="0" borderId="0" xfId="0" applyNumberFormat="1"/>
    <xf numFmtId="0" fontId="0" fillId="0" borderId="0" xfId="0" applyAlignment="1">
      <alignment horizontal="fill" wrapText="1"/>
    </xf>
    <xf numFmtId="10" fontId="0" fillId="0" borderId="0" xfId="42" applyNumberFormat="1" applyFont="1"/>
    <xf numFmtId="165" fontId="0" fillId="0" borderId="0" xfId="42" applyNumberFormat="1" applyFont="1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wrapText="1"/>
    </xf>
    <xf numFmtId="164" fontId="0" fillId="0" borderId="12" xfId="0" applyNumberFormat="1" applyBorder="1" applyAlignment="1">
      <alignment wrapText="1"/>
    </xf>
    <xf numFmtId="0" fontId="1" fillId="0" borderId="12" xfId="42" applyNumberFormat="1" applyFont="1" applyBorder="1" applyAlignment="1">
      <alignment wrapText="1"/>
    </xf>
    <xf numFmtId="165" fontId="0" fillId="0" borderId="12" xfId="0" applyNumberFormat="1" applyBorder="1" applyAlignment="1">
      <alignment wrapText="1"/>
    </xf>
    <xf numFmtId="49" fontId="0" fillId="0" borderId="0" xfId="0" applyNumberFormat="1"/>
    <xf numFmtId="49" fontId="0" fillId="0" borderId="12" xfId="0" applyNumberFormat="1" applyBorder="1" applyAlignment="1">
      <alignment wrapText="1"/>
    </xf>
    <xf numFmtId="0" fontId="20" fillId="0" borderId="0" xfId="0" applyFont="1"/>
    <xf numFmtId="10" fontId="20" fillId="0" borderId="0" xfId="0" applyNumberFormat="1" applyFont="1"/>
    <xf numFmtId="0" fontId="20" fillId="0" borderId="0" xfId="0" applyFont="1" applyAlignment="1">
      <alignment wrapText="1"/>
    </xf>
    <xf numFmtId="164" fontId="0" fillId="0" borderId="0" xfId="42" applyNumberFormat="1" applyFont="1"/>
    <xf numFmtId="0" fontId="0" fillId="0" borderId="21" xfId="0" applyBorder="1" applyAlignment="1">
      <alignment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tabSelected="1" workbookViewId="0">
      <selection activeCell="A12" sqref="A12"/>
    </sheetView>
  </sheetViews>
  <sheetFormatPr defaultColWidth="8.83984375" defaultRowHeight="14.4" x14ac:dyDescent="0.55000000000000004"/>
  <cols>
    <col min="1" max="1" width="10" bestFit="1" customWidth="1"/>
    <col min="2" max="2" width="7.83984375" bestFit="1" customWidth="1"/>
    <col min="3" max="3" width="10.41796875" style="5" bestFit="1" customWidth="1"/>
    <col min="4" max="8" width="19.15625" customWidth="1"/>
  </cols>
  <sheetData>
    <row r="1" spans="1:8" s="3" customFormat="1" ht="28.8" x14ac:dyDescent="0.55000000000000004">
      <c r="A1" s="20" t="s">
        <v>0</v>
      </c>
      <c r="B1" s="20" t="s">
        <v>1</v>
      </c>
      <c r="C1" s="30" t="s">
        <v>169</v>
      </c>
      <c r="D1" s="31" t="s">
        <v>2</v>
      </c>
      <c r="E1" s="32"/>
      <c r="F1" s="32"/>
      <c r="G1" s="32"/>
      <c r="H1" s="33"/>
    </row>
    <row r="2" spans="1:8" x14ac:dyDescent="0.55000000000000004">
      <c r="A2" t="s">
        <v>3</v>
      </c>
      <c r="B2" s="10">
        <v>0.22</v>
      </c>
      <c r="C2" s="29">
        <v>2.5186999999999999</v>
      </c>
      <c r="D2" s="15" t="str" cm="1">
        <f t="array" ref="D2">_xlfn._xlws.FILTER(Methods,ISERROR(_xlfn.XMATCH(Methods,_xlfn.UNIQUE(_xlfn.CHOOSECOLS(DIAtempAll,6)))),"")</f>
        <v/>
      </c>
      <c r="H2" s="16"/>
    </row>
    <row r="3" spans="1:8" x14ac:dyDescent="0.55000000000000004">
      <c r="A3" t="s">
        <v>4</v>
      </c>
      <c r="B3" s="10">
        <v>0.4667</v>
      </c>
      <c r="C3" s="29">
        <v>1.9139999999999999</v>
      </c>
      <c r="D3" s="15" t="str" cm="1">
        <f t="array" ref="D3">_xlfn._xlws.FILTER(Methods,ISERROR(_xlfn.XMATCH(Methods,_xlfn.UNIQUE(_xlfn.CHOOSECOLS(DIAwindAll,6)))),"")</f>
        <v/>
      </c>
      <c r="H3" s="16"/>
    </row>
    <row r="4" spans="1:8" x14ac:dyDescent="0.55000000000000004">
      <c r="A4" t="s">
        <v>5</v>
      </c>
      <c r="B4" s="10">
        <v>0.2893</v>
      </c>
      <c r="C4" s="29">
        <v>2.9093</v>
      </c>
      <c r="D4" s="15" t="str" cm="1">
        <f t="array" ref="D4:E4">_xlfn._xlws.FILTER(Methods,ISERROR(_xlfn.XMATCH(Methods,_xlfn.UNIQUE(_xlfn.CHOOSECOLS(DickensAll,6)))),"")</f>
        <v>NAR_NN</v>
      </c>
      <c r="E4" t="str">
        <v>RegressionLearner_MC</v>
      </c>
      <c r="H4" s="16"/>
    </row>
    <row r="5" spans="1:8" x14ac:dyDescent="0.55000000000000004">
      <c r="A5" t="s">
        <v>6</v>
      </c>
      <c r="B5" s="10">
        <v>0.42470000000000002</v>
      </c>
      <c r="C5" s="29">
        <v>2.0611000000000002</v>
      </c>
      <c r="D5" s="15" t="str" cm="1">
        <f t="array" ref="D5">_xlfn._xlws.FILTER(Methods,ISERROR(_xlfn.XMATCH(Methods,_xlfn.UNIQUE(_xlfn.CHOOSECOLS(HawaiianAll,6)))),"")</f>
        <v/>
      </c>
      <c r="H5" s="16"/>
    </row>
    <row r="6" spans="1:8" x14ac:dyDescent="0.55000000000000004">
      <c r="A6" t="s">
        <v>7</v>
      </c>
      <c r="B6" s="10">
        <v>0.26219999999999999</v>
      </c>
      <c r="C6" s="29">
        <v>2.6314000000000002</v>
      </c>
      <c r="D6" s="15" t="str" cm="1">
        <f t="array" ref="D6">_xlfn._xlws.FILTER(Methods,ISERROR(_xlfn.XMATCH(Methods,_xlfn.UNIQUE(_xlfn.CHOOSECOLS(heart1All,6)))),"")</f>
        <v/>
      </c>
      <c r="H6" s="16"/>
    </row>
    <row r="7" spans="1:8" x14ac:dyDescent="0.55000000000000004">
      <c r="A7" t="s">
        <v>8</v>
      </c>
      <c r="B7" s="10">
        <v>0.27889999999999998</v>
      </c>
      <c r="C7" s="29">
        <v>2.4636</v>
      </c>
      <c r="D7" s="15" t="str" cm="1">
        <f t="array" ref="D7">_xlfn._xlws.FILTER(Methods,ISERROR(_xlfn.XMATCH(Methods,_xlfn.UNIQUE(_xlfn.CHOOSECOLS(heart2All,6)))),"")</f>
        <v/>
      </c>
      <c r="H7" s="16"/>
    </row>
    <row r="8" spans="1:8" x14ac:dyDescent="0.55000000000000004">
      <c r="A8" t="s">
        <v>9</v>
      </c>
      <c r="B8" s="1">
        <v>0.34549999999999997</v>
      </c>
      <c r="C8" s="5">
        <f>2.6531</f>
        <v>2.6530999999999998</v>
      </c>
      <c r="D8" s="15" t="str" cm="1">
        <f t="array" ref="D8">_xlfn._xlws.FILTER(Methods,ISERROR(_xlfn.XMATCH(Methods,_xlfn.UNIQUE(_xlfn.CHOOSECOLS(nonuniformAll,6)))),"")</f>
        <v/>
      </c>
      <c r="H8" s="16"/>
    </row>
    <row r="9" spans="1:8" x14ac:dyDescent="0.55000000000000004">
      <c r="A9" t="s">
        <v>10</v>
      </c>
      <c r="B9" s="1">
        <v>0.36120000000000002</v>
      </c>
      <c r="C9" s="5">
        <v>2.6471</v>
      </c>
      <c r="D9" s="15" t="str" cm="1">
        <f t="array" ref="D9">_xlfn._xlws.FILTER(Methods,ISERROR(_xlfn.XMATCH(Methods,_xlfn.UNIQUE(_xlfn.CHOOSECOLS(selfadaptAll,6)))),"")</f>
        <v/>
      </c>
      <c r="H9" s="16"/>
    </row>
    <row r="10" spans="1:8" x14ac:dyDescent="0.55000000000000004">
      <c r="A10" t="s">
        <v>11</v>
      </c>
      <c r="B10" s="1">
        <v>0.4758</v>
      </c>
      <c r="C10" s="5">
        <v>1.9595</v>
      </c>
      <c r="D10" s="15" t="str" cm="1">
        <f t="array" ref="D10">_xlfn._xlws.FILTER(Methods,ISERROR(_xlfn.XMATCH(Methods,_xlfn.UNIQUE(_xlfn.CHOOSECOLS(solarWindAll,6)))),"")</f>
        <v/>
      </c>
      <c r="H10" s="16"/>
    </row>
    <row r="11" spans="1:8" ht="14.7" thickBot="1" x14ac:dyDescent="0.6">
      <c r="A11" t="s">
        <v>12</v>
      </c>
      <c r="B11" s="1">
        <v>0.1217</v>
      </c>
      <c r="C11" s="5">
        <v>3.1688000000000001</v>
      </c>
      <c r="D11" s="17" t="str" cm="1">
        <f t="array" ref="D11">_xlfn._xlws.FILTER(Methods,ISERROR(_xlfn.XMATCH(Methods,_xlfn.UNIQUE(_xlfn.CHOOSECOLS(uniformAll,6)))),"")</f>
        <v/>
      </c>
      <c r="E11" s="18"/>
      <c r="F11" s="18"/>
      <c r="G11" s="18"/>
      <c r="H11" s="19"/>
    </row>
  </sheetData>
  <mergeCells count="1">
    <mergeCell ref="D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CAC5-628A-43AE-BDF9-8BA5958ADA60}">
  <dimension ref="A1:N40"/>
  <sheetViews>
    <sheetView workbookViewId="0">
      <selection activeCell="C1" sqref="C1"/>
    </sheetView>
  </sheetViews>
  <sheetFormatPr defaultColWidth="8.83984375" defaultRowHeight="14.4" x14ac:dyDescent="0.55000000000000004"/>
  <cols>
    <col min="1" max="1" width="13.15625" bestFit="1" customWidth="1"/>
    <col min="2" max="2" width="8.83984375" bestFit="1" customWidth="1"/>
    <col min="3" max="3" width="10.26171875" style="11" bestFit="1" customWidth="1"/>
    <col min="4" max="5" width="12.83984375" customWidth="1"/>
    <col min="6" max="6" width="19" bestFit="1" customWidth="1"/>
    <col min="8" max="8" width="8.05078125" bestFit="1" customWidth="1"/>
    <col min="11" max="11" width="8.83984375" style="6"/>
    <col min="12" max="12" width="8" bestFit="1" customWidth="1"/>
    <col min="13" max="13" width="8.41796875" bestFit="1" customWidth="1"/>
    <col min="14" max="14" width="10.41796875" bestFit="1" customWidth="1"/>
  </cols>
  <sheetData>
    <row r="1" spans="1:14" x14ac:dyDescent="0.55000000000000004">
      <c r="A1" t="s">
        <v>13</v>
      </c>
      <c r="K1"/>
    </row>
    <row r="2" spans="1:14" s="3" customFormat="1" ht="57.6" x14ac:dyDescent="0.55000000000000004">
      <c r="A2" s="20" t="s">
        <v>14</v>
      </c>
      <c r="B2" s="21" t="s">
        <v>15</v>
      </c>
      <c r="C2" s="22" t="s">
        <v>16</v>
      </c>
      <c r="D2" s="20" t="s">
        <v>17</v>
      </c>
      <c r="E2" s="20" t="s">
        <v>18</v>
      </c>
      <c r="F2" s="20" t="s">
        <v>19</v>
      </c>
      <c r="G2" s="3" t="s">
        <v>169</v>
      </c>
      <c r="H2" s="3" t="s">
        <v>170</v>
      </c>
      <c r="I2" s="20" t="s">
        <v>1</v>
      </c>
      <c r="J2" s="20" t="s">
        <v>20</v>
      </c>
      <c r="K2" s="20" t="s">
        <v>21</v>
      </c>
      <c r="L2" s="20" t="s">
        <v>22</v>
      </c>
      <c r="M2" s="20" t="s">
        <v>23</v>
      </c>
      <c r="N2" s="20" t="s">
        <v>24</v>
      </c>
    </row>
    <row r="3" spans="1:14" x14ac:dyDescent="0.55000000000000004">
      <c r="A3" s="8">
        <f t="shared" ref="A3:A38" si="0">_xlfn.NUMBERVALUE(_xlfn.TEXTBEFORE(_xlfn.TEXTAFTER(K3,"penalty: "), " bits"))</f>
        <v>843.07299999999998</v>
      </c>
      <c r="B3" s="5">
        <f t="shared" ref="B3:B38" si="1">_xlfn.NUMBERVALUE(_xlfn.TEXTBEFORE(_xlfn.TEXTAFTER(K3,"bits (")," bits"))</f>
        <v>0.88560000000000005</v>
      </c>
      <c r="C3" s="7">
        <f t="shared" ref="C3:C38" si="2">_xlfn.NUMBERVALUE(_xlfn.TEXTBEFORE(_xlfn.TEXTAFTER(K3,"predicted "),"% of")/100)</f>
        <v>0.85609000000000002</v>
      </c>
      <c r="D3">
        <f t="shared" ref="D3:D38" si="3">B3/C3</f>
        <v>1.0344706748122277</v>
      </c>
      <c r="E3" t="str">
        <f t="shared" ref="E3:E38" si="4">_xlfn.TEXTBEFORE(_xlfn.TEXTAFTER(K3,"in sequence_"),"_")</f>
        <v>solarWind</v>
      </c>
      <c r="F3" t="s">
        <v>13</v>
      </c>
      <c r="G3">
        <f>_xlfn.XLOOKUP(E3,Sequences,Sequences!$C$2:$C$11)</f>
        <v>1.9595</v>
      </c>
      <c r="H3" t="str">
        <f t="shared" ref="H3:H40" si="5">IF(B3&lt;G3,"Yes","No")</f>
        <v>Yes</v>
      </c>
      <c r="I3" s="10">
        <f>_xlfn.XLOOKUP(E3,Sequences!$A$2:$A$11,Sequences!$B$2:$B$11)</f>
        <v>0.4758</v>
      </c>
      <c r="J3" t="str">
        <f t="shared" ref="J3:J37" si="6">IF(C3&gt;I3, "Yes", "No")</f>
        <v>Yes</v>
      </c>
      <c r="K3" s="6" t="s">
        <v>25</v>
      </c>
      <c r="L3">
        <v>50</v>
      </c>
      <c r="M3">
        <v>250</v>
      </c>
      <c r="N3">
        <v>150</v>
      </c>
    </row>
    <row r="4" spans="1:14" x14ac:dyDescent="0.55000000000000004">
      <c r="A4" s="8">
        <f t="shared" si="0"/>
        <v>1004.174</v>
      </c>
      <c r="B4" s="5">
        <f t="shared" si="1"/>
        <v>1.0548</v>
      </c>
      <c r="C4" s="7">
        <f t="shared" si="2"/>
        <v>0.83508000000000004</v>
      </c>
      <c r="D4">
        <f t="shared" si="3"/>
        <v>1.2631125161661156</v>
      </c>
      <c r="E4" t="str">
        <f t="shared" si="4"/>
        <v>solarWind</v>
      </c>
      <c r="F4" t="s">
        <v>13</v>
      </c>
      <c r="G4">
        <f>_xlfn.XLOOKUP(E4,Sequences,Sequences!$C$2:$C$11)</f>
        <v>1.9595</v>
      </c>
      <c r="H4" t="str">
        <f t="shared" si="5"/>
        <v>Yes</v>
      </c>
      <c r="I4" s="10">
        <f>_xlfn.XLOOKUP(E4,Sequences!$A$2:$A$11,Sequences!$B$2:$B$11)</f>
        <v>0.4758</v>
      </c>
      <c r="J4" t="str">
        <f t="shared" si="6"/>
        <v>Yes</v>
      </c>
      <c r="K4" s="6" t="s">
        <v>26</v>
      </c>
      <c r="L4">
        <v>100</v>
      </c>
      <c r="M4">
        <v>250</v>
      </c>
      <c r="N4">
        <v>150</v>
      </c>
    </row>
    <row r="5" spans="1:14" x14ac:dyDescent="0.55000000000000004">
      <c r="A5" s="8">
        <f t="shared" si="0"/>
        <v>966.12300000000005</v>
      </c>
      <c r="B5" s="5">
        <f t="shared" si="1"/>
        <v>1.0734999999999999</v>
      </c>
      <c r="C5" s="7">
        <f t="shared" si="2"/>
        <v>0.81555999999999995</v>
      </c>
      <c r="D5">
        <f t="shared" si="3"/>
        <v>1.3162734807984697</v>
      </c>
      <c r="E5" t="str">
        <f t="shared" si="4"/>
        <v>heart2</v>
      </c>
      <c r="F5" t="s">
        <v>13</v>
      </c>
      <c r="G5">
        <f>_xlfn.XLOOKUP(E5,Sequences,Sequences!$C$2:$C$11)</f>
        <v>2.4636</v>
      </c>
      <c r="H5" t="str">
        <f t="shared" si="5"/>
        <v>Yes</v>
      </c>
      <c r="I5" s="10">
        <f>_xlfn.XLOOKUP(E5,Sequences!$A$2:$A$11,Sequences!$B$2:$B$11)</f>
        <v>0.27889999999999998</v>
      </c>
      <c r="J5" t="str">
        <f t="shared" si="6"/>
        <v>Yes</v>
      </c>
      <c r="K5" s="6" t="s">
        <v>27</v>
      </c>
      <c r="L5">
        <v>50</v>
      </c>
      <c r="M5">
        <v>250</v>
      </c>
      <c r="N5">
        <v>150</v>
      </c>
    </row>
    <row r="6" spans="1:14" x14ac:dyDescent="0.55000000000000004">
      <c r="A6" s="8">
        <f t="shared" si="0"/>
        <v>1056.3889999999999</v>
      </c>
      <c r="B6" s="5">
        <f t="shared" si="1"/>
        <v>1.1096999999999999</v>
      </c>
      <c r="C6" s="7">
        <f t="shared" si="2"/>
        <v>0.83403000000000005</v>
      </c>
      <c r="D6">
        <f t="shared" si="3"/>
        <v>1.3305276788604725</v>
      </c>
      <c r="E6" t="str">
        <f t="shared" si="4"/>
        <v>solarWind</v>
      </c>
      <c r="F6" t="s">
        <v>13</v>
      </c>
      <c r="G6">
        <f>_xlfn.XLOOKUP(E6,Sequences,Sequences!$C$2:$C$11)</f>
        <v>1.9595</v>
      </c>
      <c r="H6" t="str">
        <f t="shared" si="5"/>
        <v>Yes</v>
      </c>
      <c r="I6" s="10">
        <f>_xlfn.XLOOKUP(E6,Sequences!$A$2:$A$11,Sequences!$B$2:$B$11)</f>
        <v>0.4758</v>
      </c>
      <c r="J6" t="str">
        <f t="shared" si="6"/>
        <v>Yes</v>
      </c>
      <c r="K6" s="6" t="s">
        <v>28</v>
      </c>
      <c r="L6">
        <v>100</v>
      </c>
      <c r="M6">
        <v>250</v>
      </c>
      <c r="N6">
        <v>40</v>
      </c>
    </row>
    <row r="7" spans="1:14" x14ac:dyDescent="0.55000000000000004">
      <c r="A7" s="8">
        <f t="shared" si="0"/>
        <v>1221.4570000000001</v>
      </c>
      <c r="B7" s="5">
        <f t="shared" si="1"/>
        <v>1.3572</v>
      </c>
      <c r="C7" s="7">
        <f t="shared" si="2"/>
        <v>0.81444000000000005</v>
      </c>
      <c r="D7">
        <f t="shared" si="3"/>
        <v>1.6664210991601589</v>
      </c>
      <c r="E7" t="str">
        <f t="shared" si="4"/>
        <v>heart2</v>
      </c>
      <c r="F7" t="s">
        <v>13</v>
      </c>
      <c r="G7">
        <f>_xlfn.XLOOKUP(E7,Sequences,Sequences!$C$2:$C$11)</f>
        <v>2.4636</v>
      </c>
      <c r="H7" t="str">
        <f t="shared" si="5"/>
        <v>Yes</v>
      </c>
      <c r="I7" s="10">
        <f>_xlfn.XLOOKUP(E7,Sequences!$A$2:$A$11,Sequences!$B$2:$B$11)</f>
        <v>0.27889999999999998</v>
      </c>
      <c r="J7" t="str">
        <f t="shared" si="6"/>
        <v>Yes</v>
      </c>
      <c r="K7" s="6" t="s">
        <v>29</v>
      </c>
      <c r="L7">
        <v>50</v>
      </c>
      <c r="M7">
        <v>250</v>
      </c>
      <c r="N7">
        <v>40</v>
      </c>
    </row>
    <row r="8" spans="1:14" x14ac:dyDescent="0.55000000000000004">
      <c r="A8" s="8">
        <f t="shared" si="0"/>
        <v>1141.374</v>
      </c>
      <c r="B8" s="5">
        <f t="shared" si="1"/>
        <v>1.2682</v>
      </c>
      <c r="C8" s="7">
        <f t="shared" si="2"/>
        <v>0.75666999999999995</v>
      </c>
      <c r="D8">
        <f t="shared" si="3"/>
        <v>1.6760278589081106</v>
      </c>
      <c r="E8" t="str">
        <f t="shared" si="4"/>
        <v>heart1</v>
      </c>
      <c r="F8" t="s">
        <v>13</v>
      </c>
      <c r="G8">
        <f>_xlfn.XLOOKUP(E8,Sequences,Sequences!$C$2:$C$11)</f>
        <v>2.6314000000000002</v>
      </c>
      <c r="H8" t="str">
        <f t="shared" si="5"/>
        <v>Yes</v>
      </c>
      <c r="I8" s="10">
        <f>_xlfn.XLOOKUP(E8,Sequences!$A$2:$A$11,Sequences!$B$2:$B$11)</f>
        <v>0.26219999999999999</v>
      </c>
      <c r="J8" t="str">
        <f t="shared" si="6"/>
        <v>Yes</v>
      </c>
      <c r="K8" s="6" t="s">
        <v>30</v>
      </c>
      <c r="L8">
        <v>50</v>
      </c>
      <c r="M8">
        <v>250</v>
      </c>
      <c r="N8">
        <v>40</v>
      </c>
    </row>
    <row r="9" spans="1:14" x14ac:dyDescent="0.55000000000000004">
      <c r="A9" s="8">
        <f t="shared" si="0"/>
        <v>1234.5609999999999</v>
      </c>
      <c r="B9" s="5">
        <f t="shared" si="1"/>
        <v>1.3716999999999999</v>
      </c>
      <c r="C9" s="7">
        <f t="shared" si="2"/>
        <v>0.81444000000000005</v>
      </c>
      <c r="D9">
        <f t="shared" si="3"/>
        <v>1.6842247433819555</v>
      </c>
      <c r="E9" t="str">
        <f t="shared" si="4"/>
        <v>heart2</v>
      </c>
      <c r="F9" t="s">
        <v>13</v>
      </c>
      <c r="G9">
        <f>_xlfn.XLOOKUP(E9,Sequences,Sequences!$C$2:$C$11)</f>
        <v>2.4636</v>
      </c>
      <c r="H9" t="str">
        <f t="shared" si="5"/>
        <v>Yes</v>
      </c>
      <c r="I9" s="10">
        <f>_xlfn.XLOOKUP(E9,Sequences!$A$2:$A$11,Sequences!$B$2:$B$11)</f>
        <v>0.27889999999999998</v>
      </c>
      <c r="J9" t="str">
        <f t="shared" si="6"/>
        <v>Yes</v>
      </c>
      <c r="K9" s="6" t="s">
        <v>31</v>
      </c>
      <c r="L9">
        <v>50</v>
      </c>
      <c r="M9">
        <v>250</v>
      </c>
      <c r="N9">
        <v>40</v>
      </c>
    </row>
    <row r="10" spans="1:14" x14ac:dyDescent="0.55000000000000004">
      <c r="A10" s="8">
        <f t="shared" si="0"/>
        <v>1280.1980000000001</v>
      </c>
      <c r="B10" s="5">
        <f t="shared" si="1"/>
        <v>1.4224000000000001</v>
      </c>
      <c r="C10" s="7">
        <f t="shared" si="2"/>
        <v>0.78556000000000004</v>
      </c>
      <c r="D10">
        <f t="shared" si="3"/>
        <v>1.8106828249910891</v>
      </c>
      <c r="E10" t="str">
        <f t="shared" si="4"/>
        <v>heart2</v>
      </c>
      <c r="F10" t="s">
        <v>13</v>
      </c>
      <c r="G10">
        <f>_xlfn.XLOOKUP(E10,Sequences,Sequences!$C$2:$C$11)</f>
        <v>2.4636</v>
      </c>
      <c r="H10" t="str">
        <f t="shared" si="5"/>
        <v>Yes</v>
      </c>
      <c r="I10" s="10">
        <f>_xlfn.XLOOKUP(E10,Sequences!$A$2:$A$11,Sequences!$B$2:$B$11)</f>
        <v>0.27889999999999998</v>
      </c>
      <c r="J10" t="str">
        <f t="shared" si="6"/>
        <v>Yes</v>
      </c>
      <c r="K10" s="6" t="s">
        <v>32</v>
      </c>
      <c r="L10">
        <v>100</v>
      </c>
      <c r="M10">
        <v>250</v>
      </c>
      <c r="N10">
        <v>40</v>
      </c>
    </row>
    <row r="11" spans="1:14" x14ac:dyDescent="0.55000000000000004">
      <c r="A11" s="8">
        <f t="shared" si="0"/>
        <v>1308.1220000000001</v>
      </c>
      <c r="B11" s="5">
        <f t="shared" si="1"/>
        <v>1.4535</v>
      </c>
      <c r="C11" s="7">
        <f t="shared" si="2"/>
        <v>0.73111000000000004</v>
      </c>
      <c r="D11">
        <f t="shared" si="3"/>
        <v>1.9880729302020215</v>
      </c>
      <c r="E11" t="str">
        <f t="shared" si="4"/>
        <v>heart1</v>
      </c>
      <c r="F11" t="s">
        <v>13</v>
      </c>
      <c r="G11">
        <f>_xlfn.XLOOKUP(E11,Sequences,Sequences!$C$2:$C$11)</f>
        <v>2.6314000000000002</v>
      </c>
      <c r="H11" t="str">
        <f t="shared" si="5"/>
        <v>Yes</v>
      </c>
      <c r="I11" s="10">
        <f>_xlfn.XLOOKUP(E11,Sequences!$A$2:$A$11,Sequences!$B$2:$B$11)</f>
        <v>0.26219999999999999</v>
      </c>
      <c r="J11" t="str">
        <f t="shared" si="6"/>
        <v>Yes</v>
      </c>
      <c r="K11" s="9" t="s">
        <v>33</v>
      </c>
      <c r="L11">
        <v>100</v>
      </c>
      <c r="M11">
        <v>250</v>
      </c>
      <c r="N11">
        <v>150</v>
      </c>
    </row>
    <row r="12" spans="1:14" x14ac:dyDescent="0.55000000000000004">
      <c r="A12" s="8">
        <f t="shared" si="0"/>
        <v>1432.91</v>
      </c>
      <c r="B12" s="5">
        <f t="shared" si="1"/>
        <v>1.5921000000000001</v>
      </c>
      <c r="C12" s="7">
        <f t="shared" si="2"/>
        <v>0.74778</v>
      </c>
      <c r="D12">
        <f t="shared" si="3"/>
        <v>2.1291021423413303</v>
      </c>
      <c r="E12" t="str">
        <f t="shared" si="4"/>
        <v>heart1</v>
      </c>
      <c r="F12" t="s">
        <v>13</v>
      </c>
      <c r="G12">
        <f>_xlfn.XLOOKUP(E12,Sequences,Sequences!$C$2:$C$11)</f>
        <v>2.6314000000000002</v>
      </c>
      <c r="H12" t="str">
        <f t="shared" si="5"/>
        <v>Yes</v>
      </c>
      <c r="I12" s="10">
        <f>_xlfn.XLOOKUP(E12,Sequences!$A$2:$A$11,Sequences!$B$2:$B$11)</f>
        <v>0.26219999999999999</v>
      </c>
      <c r="J12" t="str">
        <f t="shared" si="6"/>
        <v>Yes</v>
      </c>
      <c r="K12" s="6" t="s">
        <v>34</v>
      </c>
      <c r="L12">
        <v>100</v>
      </c>
      <c r="M12">
        <v>250</v>
      </c>
      <c r="N12">
        <v>40</v>
      </c>
    </row>
    <row r="13" spans="1:14" x14ac:dyDescent="0.55000000000000004">
      <c r="A13" s="8">
        <f t="shared" si="0"/>
        <v>9691.6569999999992</v>
      </c>
      <c r="B13" s="5">
        <f t="shared" si="1"/>
        <v>1.7141</v>
      </c>
      <c r="C13" s="7">
        <f t="shared" si="2"/>
        <v>0.62133000000000005</v>
      </c>
      <c r="D13">
        <f t="shared" si="3"/>
        <v>2.7587594354046963</v>
      </c>
      <c r="E13" t="str">
        <f t="shared" si="4"/>
        <v>Hawaiian</v>
      </c>
      <c r="F13" t="s">
        <v>13</v>
      </c>
      <c r="G13">
        <f>_xlfn.XLOOKUP(E13,Sequences,Sequences!$C$2:$C$11)</f>
        <v>2.0611000000000002</v>
      </c>
      <c r="H13" t="str">
        <f t="shared" si="5"/>
        <v>Yes</v>
      </c>
      <c r="I13" s="10">
        <f>_xlfn.XLOOKUP(E13,Sequences!$A$2:$A$11,Sequences!$B$2:$B$11)</f>
        <v>0.42470000000000002</v>
      </c>
      <c r="J13" t="str">
        <f t="shared" si="6"/>
        <v>Yes</v>
      </c>
      <c r="K13" s="9" t="s">
        <v>35</v>
      </c>
      <c r="L13">
        <v>50</v>
      </c>
      <c r="M13">
        <v>250</v>
      </c>
      <c r="N13">
        <v>40</v>
      </c>
    </row>
    <row r="14" spans="1:14" x14ac:dyDescent="0.55000000000000004">
      <c r="A14" s="8">
        <f t="shared" si="0"/>
        <v>9638.1049999999996</v>
      </c>
      <c r="B14" s="5">
        <f t="shared" si="1"/>
        <v>1.7047000000000001</v>
      </c>
      <c r="C14" s="7">
        <f t="shared" si="2"/>
        <v>0.61673</v>
      </c>
      <c r="D14">
        <f t="shared" si="3"/>
        <v>2.764094498402867</v>
      </c>
      <c r="E14" t="str">
        <f t="shared" si="4"/>
        <v>Hawaiian</v>
      </c>
      <c r="F14" t="s">
        <v>13</v>
      </c>
      <c r="G14">
        <f>_xlfn.XLOOKUP(E14,Sequences,Sequences!$C$2:$C$11)</f>
        <v>2.0611000000000002</v>
      </c>
      <c r="H14" t="str">
        <f t="shared" si="5"/>
        <v>Yes</v>
      </c>
      <c r="I14" s="10">
        <f>_xlfn.XLOOKUP(E14,Sequences!$A$2:$A$11,Sequences!$B$2:$B$11)</f>
        <v>0.42470000000000002</v>
      </c>
      <c r="J14" t="str">
        <f t="shared" si="6"/>
        <v>Yes</v>
      </c>
      <c r="K14" s="9" t="s">
        <v>36</v>
      </c>
      <c r="L14">
        <v>50</v>
      </c>
      <c r="M14">
        <v>250</v>
      </c>
      <c r="N14">
        <v>40</v>
      </c>
    </row>
    <row r="15" spans="1:14" x14ac:dyDescent="0.55000000000000004">
      <c r="A15" s="8">
        <f t="shared" si="0"/>
        <v>9664.6039999999994</v>
      </c>
      <c r="B15" s="5">
        <f t="shared" si="1"/>
        <v>1.7093</v>
      </c>
      <c r="C15" s="7">
        <f t="shared" si="2"/>
        <v>0.61567000000000005</v>
      </c>
      <c r="D15">
        <f t="shared" si="3"/>
        <v>2.7763249792908535</v>
      </c>
      <c r="E15" t="str">
        <f t="shared" si="4"/>
        <v>Hawaiian</v>
      </c>
      <c r="F15" t="s">
        <v>13</v>
      </c>
      <c r="G15">
        <f>_xlfn.XLOOKUP(E15,Sequences,Sequences!$C$2:$C$11)</f>
        <v>2.0611000000000002</v>
      </c>
      <c r="H15" t="str">
        <f t="shared" si="5"/>
        <v>Yes</v>
      </c>
      <c r="I15" s="10">
        <f>_xlfn.XLOOKUP(E15,Sequences!$A$2:$A$11,Sequences!$B$2:$B$11)</f>
        <v>0.42470000000000002</v>
      </c>
      <c r="J15" t="str">
        <f t="shared" si="6"/>
        <v>Yes</v>
      </c>
      <c r="K15" s="9" t="s">
        <v>37</v>
      </c>
      <c r="L15">
        <v>100</v>
      </c>
      <c r="M15">
        <v>250</v>
      </c>
      <c r="N15">
        <v>150</v>
      </c>
    </row>
    <row r="16" spans="1:14" x14ac:dyDescent="0.55000000000000004">
      <c r="A16" s="8">
        <f t="shared" si="0"/>
        <v>9875.56</v>
      </c>
      <c r="B16" s="5">
        <f t="shared" si="1"/>
        <v>1.7466999999999999</v>
      </c>
      <c r="C16" s="7">
        <f t="shared" si="2"/>
        <v>0.61302000000000001</v>
      </c>
      <c r="D16">
        <f t="shared" si="3"/>
        <v>2.8493360738638214</v>
      </c>
      <c r="E16" t="str">
        <f t="shared" si="4"/>
        <v>Hawaiian</v>
      </c>
      <c r="F16" t="s">
        <v>13</v>
      </c>
      <c r="G16">
        <f>_xlfn.XLOOKUP(E16,Sequences,Sequences!$C$2:$C$11)</f>
        <v>2.0611000000000002</v>
      </c>
      <c r="H16" t="str">
        <f t="shared" si="5"/>
        <v>Yes</v>
      </c>
      <c r="I16" s="10">
        <f>_xlfn.XLOOKUP(E16,Sequences!$A$2:$A$11,Sequences!$B$2:$B$11)</f>
        <v>0.42470000000000002</v>
      </c>
      <c r="J16" t="str">
        <f t="shared" si="6"/>
        <v>Yes</v>
      </c>
      <c r="K16" s="9" t="s">
        <v>38</v>
      </c>
      <c r="L16">
        <v>100</v>
      </c>
      <c r="M16">
        <v>250</v>
      </c>
      <c r="N16">
        <v>150</v>
      </c>
    </row>
    <row r="17" spans="1:14" x14ac:dyDescent="0.55000000000000004">
      <c r="A17" s="8">
        <f t="shared" si="0"/>
        <v>9948.6350000000002</v>
      </c>
      <c r="B17" s="5">
        <f t="shared" si="1"/>
        <v>1.7596000000000001</v>
      </c>
      <c r="C17" s="7">
        <f t="shared" si="2"/>
        <v>0.61460999999999999</v>
      </c>
      <c r="D17">
        <f t="shared" si="3"/>
        <v>2.8629537430240317</v>
      </c>
      <c r="E17" t="str">
        <f t="shared" si="4"/>
        <v>Hawaiian</v>
      </c>
      <c r="F17" t="s">
        <v>13</v>
      </c>
      <c r="G17">
        <f>_xlfn.XLOOKUP(E17,Sequences,Sequences!$C$2:$C$11)</f>
        <v>2.0611000000000002</v>
      </c>
      <c r="H17" t="str">
        <f t="shared" si="5"/>
        <v>Yes</v>
      </c>
      <c r="I17" s="10">
        <f>_xlfn.XLOOKUP(E17,Sequences!$A$2:$A$11,Sequences!$B$2:$B$11)</f>
        <v>0.42470000000000002</v>
      </c>
      <c r="J17" t="str">
        <f t="shared" si="6"/>
        <v>Yes</v>
      </c>
      <c r="K17" s="9" t="s">
        <v>39</v>
      </c>
      <c r="L17">
        <v>100</v>
      </c>
      <c r="M17">
        <v>250</v>
      </c>
      <c r="N17">
        <v>40</v>
      </c>
    </row>
    <row r="18" spans="1:14" x14ac:dyDescent="0.55000000000000004">
      <c r="A18" s="8">
        <f t="shared" si="0"/>
        <v>10153.495000000001</v>
      </c>
      <c r="B18" s="5">
        <f t="shared" si="1"/>
        <v>1.7958000000000001</v>
      </c>
      <c r="C18" s="7">
        <f t="shared" si="2"/>
        <v>0.61143000000000003</v>
      </c>
      <c r="D18">
        <f t="shared" si="3"/>
        <v>2.9370492125018397</v>
      </c>
      <c r="E18" t="str">
        <f t="shared" si="4"/>
        <v>Hawaiian</v>
      </c>
      <c r="F18" t="s">
        <v>13</v>
      </c>
      <c r="G18">
        <f>_xlfn.XLOOKUP(E18,Sequences,Sequences!$C$2:$C$11)</f>
        <v>2.0611000000000002</v>
      </c>
      <c r="H18" t="str">
        <f t="shared" si="5"/>
        <v>Yes</v>
      </c>
      <c r="I18" s="10">
        <f>_xlfn.XLOOKUP(E18,Sequences!$A$2:$A$11,Sequences!$B$2:$B$11)</f>
        <v>0.42470000000000002</v>
      </c>
      <c r="J18" t="str">
        <f t="shared" si="6"/>
        <v>Yes</v>
      </c>
      <c r="K18" s="9" t="s">
        <v>40</v>
      </c>
      <c r="L18">
        <v>100</v>
      </c>
      <c r="M18">
        <v>250</v>
      </c>
      <c r="N18">
        <v>40</v>
      </c>
    </row>
    <row r="19" spans="1:14" x14ac:dyDescent="0.55000000000000004">
      <c r="A19">
        <f t="shared" si="0"/>
        <v>5401.1049999999996</v>
      </c>
      <c r="B19">
        <f t="shared" si="1"/>
        <v>1.6432</v>
      </c>
      <c r="C19" s="11">
        <f t="shared" si="2"/>
        <v>0.52997000000000005</v>
      </c>
      <c r="D19">
        <f t="shared" si="3"/>
        <v>3.1005528614827251</v>
      </c>
      <c r="E19" t="str">
        <f t="shared" si="4"/>
        <v>DIAtemp</v>
      </c>
      <c r="F19" t="s">
        <v>13</v>
      </c>
      <c r="G19">
        <f>_xlfn.XLOOKUP(E19,Sequences,Sequences!$C$2:$C$11)</f>
        <v>2.5186999999999999</v>
      </c>
      <c r="H19" t="str">
        <f t="shared" si="5"/>
        <v>Yes</v>
      </c>
      <c r="I19" s="10">
        <f>_xlfn.XLOOKUP(E19,Sequences!$A$2:$A$11,Sequences!$B$2:$B$11)</f>
        <v>0.22</v>
      </c>
      <c r="J19" t="str">
        <f t="shared" si="6"/>
        <v>Yes</v>
      </c>
      <c r="K19" s="6" t="s">
        <v>41</v>
      </c>
      <c r="L19">
        <v>100</v>
      </c>
      <c r="M19">
        <v>250</v>
      </c>
      <c r="N19">
        <v>40</v>
      </c>
    </row>
    <row r="20" spans="1:14" x14ac:dyDescent="0.55000000000000004">
      <c r="A20">
        <f t="shared" si="0"/>
        <v>5461.3530000000001</v>
      </c>
      <c r="B20">
        <f t="shared" si="1"/>
        <v>1.6615</v>
      </c>
      <c r="C20" s="11">
        <f t="shared" si="2"/>
        <v>0.52297000000000005</v>
      </c>
      <c r="D20">
        <f t="shared" si="3"/>
        <v>3.1770464845019788</v>
      </c>
      <c r="E20" t="str">
        <f t="shared" si="4"/>
        <v>DIATemp</v>
      </c>
      <c r="F20" t="s">
        <v>13</v>
      </c>
      <c r="G20">
        <f>_xlfn.XLOOKUP(E20,Sequences,Sequences!$C$2:$C$11)</f>
        <v>2.5186999999999999</v>
      </c>
      <c r="H20" t="str">
        <f t="shared" si="5"/>
        <v>Yes</v>
      </c>
      <c r="I20" s="10">
        <f>_xlfn.XLOOKUP(E20,Sequences!$A$2:$A$11,Sequences!$B$2:$B$11)</f>
        <v>0.22</v>
      </c>
      <c r="J20" t="str">
        <f t="shared" si="6"/>
        <v>Yes</v>
      </c>
      <c r="K20" s="6" t="s">
        <v>42</v>
      </c>
      <c r="L20">
        <v>100</v>
      </c>
      <c r="M20">
        <v>250</v>
      </c>
      <c r="N20">
        <v>40</v>
      </c>
    </row>
    <row r="21" spans="1:14" x14ac:dyDescent="0.55000000000000004">
      <c r="A21">
        <f t="shared" si="0"/>
        <v>5521.0739999999996</v>
      </c>
      <c r="B21">
        <f t="shared" si="1"/>
        <v>1.6797</v>
      </c>
      <c r="C21" s="11">
        <f t="shared" si="2"/>
        <v>0.52297000000000005</v>
      </c>
      <c r="D21">
        <f t="shared" si="3"/>
        <v>3.2118477159301677</v>
      </c>
      <c r="E21" t="str">
        <f t="shared" si="4"/>
        <v>DIATemp</v>
      </c>
      <c r="F21" t="s">
        <v>13</v>
      </c>
      <c r="G21">
        <f>_xlfn.XLOOKUP(E21,Sequences,Sequences!$C$2:$C$11)</f>
        <v>2.5186999999999999</v>
      </c>
      <c r="H21" t="str">
        <f t="shared" si="5"/>
        <v>Yes</v>
      </c>
      <c r="I21" s="10">
        <f>_xlfn.XLOOKUP(E21,Sequences!$A$2:$A$11,Sequences!$B$2:$B$11)</f>
        <v>0.22</v>
      </c>
      <c r="J21" t="str">
        <f t="shared" si="6"/>
        <v>Yes</v>
      </c>
      <c r="K21" s="6" t="s">
        <v>43</v>
      </c>
      <c r="L21">
        <v>50</v>
      </c>
      <c r="M21">
        <v>250</v>
      </c>
      <c r="N21">
        <v>40</v>
      </c>
    </row>
    <row r="22" spans="1:14" x14ac:dyDescent="0.55000000000000004">
      <c r="A22">
        <f t="shared" si="0"/>
        <v>5512.2709999999997</v>
      </c>
      <c r="B22">
        <f t="shared" si="1"/>
        <v>1.677</v>
      </c>
      <c r="C22" s="11">
        <f t="shared" si="2"/>
        <v>0.52175000000000005</v>
      </c>
      <c r="D22">
        <f t="shared" si="3"/>
        <v>3.214183037853378</v>
      </c>
      <c r="E22" t="str">
        <f t="shared" si="4"/>
        <v>DIAtemp</v>
      </c>
      <c r="F22" t="s">
        <v>13</v>
      </c>
      <c r="G22">
        <f>_xlfn.XLOOKUP(E22,Sequences,Sequences!$C$2:$C$11)</f>
        <v>2.5186999999999999</v>
      </c>
      <c r="H22" t="str">
        <f t="shared" si="5"/>
        <v>Yes</v>
      </c>
      <c r="I22" s="10">
        <f>_xlfn.XLOOKUP(E22,Sequences!$A$2:$A$11,Sequences!$B$2:$B$11)</f>
        <v>0.22</v>
      </c>
      <c r="J22" t="str">
        <f t="shared" si="6"/>
        <v>Yes</v>
      </c>
      <c r="K22" s="6" t="s">
        <v>44</v>
      </c>
      <c r="L22">
        <v>50</v>
      </c>
      <c r="M22">
        <v>250</v>
      </c>
      <c r="N22">
        <v>40</v>
      </c>
    </row>
    <row r="23" spans="1:14" x14ac:dyDescent="0.55000000000000004">
      <c r="A23" s="8">
        <f t="shared" si="0"/>
        <v>1750.95</v>
      </c>
      <c r="B23" s="5">
        <f t="shared" si="1"/>
        <v>1.9455</v>
      </c>
      <c r="C23" s="7">
        <f t="shared" si="2"/>
        <v>0.59333000000000002</v>
      </c>
      <c r="D23">
        <f t="shared" si="3"/>
        <v>3.2789510053427264</v>
      </c>
      <c r="E23" t="str">
        <f t="shared" si="4"/>
        <v>heart2</v>
      </c>
      <c r="F23" t="s">
        <v>13</v>
      </c>
      <c r="G23">
        <f>_xlfn.XLOOKUP(E23,Sequences,Sequences!$C$2:$C$11)</f>
        <v>2.4636</v>
      </c>
      <c r="H23" t="str">
        <f t="shared" si="5"/>
        <v>Yes</v>
      </c>
      <c r="I23" s="10">
        <f>_xlfn.XLOOKUP(E23,Sequences!$A$2:$A$11,Sequences!$B$2:$B$11)</f>
        <v>0.27889999999999998</v>
      </c>
      <c r="J23" t="str">
        <f t="shared" si="6"/>
        <v>Yes</v>
      </c>
      <c r="K23" s="9" t="s">
        <v>45</v>
      </c>
      <c r="L23">
        <v>100</v>
      </c>
      <c r="M23">
        <v>250</v>
      </c>
      <c r="N23">
        <v>40</v>
      </c>
    </row>
    <row r="24" spans="1:14" x14ac:dyDescent="0.55000000000000004">
      <c r="A24">
        <f t="shared" si="0"/>
        <v>6240.6629999999996</v>
      </c>
      <c r="B24">
        <f t="shared" si="1"/>
        <v>1.8986000000000001</v>
      </c>
      <c r="C24" s="11">
        <f t="shared" si="2"/>
        <v>0.46516999999999997</v>
      </c>
      <c r="D24">
        <f t="shared" si="3"/>
        <v>4.0815185846034785</v>
      </c>
      <c r="E24" t="str">
        <f t="shared" si="4"/>
        <v>DIAwind</v>
      </c>
      <c r="F24" t="s">
        <v>13</v>
      </c>
      <c r="G24">
        <f>_xlfn.XLOOKUP(E24,Sequences,Sequences!$C$2:$C$11)</f>
        <v>1.9139999999999999</v>
      </c>
      <c r="H24" t="str">
        <f t="shared" si="5"/>
        <v>Yes</v>
      </c>
      <c r="I24" s="10">
        <f>_xlfn.XLOOKUP(E24,Sequences!$A$2:$A$11,Sequences!$B$2:$B$11)</f>
        <v>0.4667</v>
      </c>
      <c r="J24" t="str">
        <f t="shared" si="6"/>
        <v>No</v>
      </c>
      <c r="K24" s="9" t="s">
        <v>46</v>
      </c>
      <c r="L24">
        <v>50</v>
      </c>
      <c r="M24">
        <v>250</v>
      </c>
      <c r="N24">
        <v>40</v>
      </c>
    </row>
    <row r="25" spans="1:14" x14ac:dyDescent="0.55000000000000004">
      <c r="A25">
        <f t="shared" si="0"/>
        <v>6238.7150000000001</v>
      </c>
      <c r="B25">
        <f t="shared" si="1"/>
        <v>1.8979999999999999</v>
      </c>
      <c r="C25" s="11">
        <f t="shared" si="2"/>
        <v>0.46364</v>
      </c>
      <c r="D25">
        <f t="shared" si="3"/>
        <v>4.0936933827969977</v>
      </c>
      <c r="E25" t="str">
        <f t="shared" si="4"/>
        <v>DIAwind</v>
      </c>
      <c r="F25" t="s">
        <v>13</v>
      </c>
      <c r="G25">
        <f>_xlfn.XLOOKUP(E25,Sequences,Sequences!$C$2:$C$11)</f>
        <v>1.9139999999999999</v>
      </c>
      <c r="H25" t="str">
        <f t="shared" si="5"/>
        <v>Yes</v>
      </c>
      <c r="I25" s="10">
        <f>_xlfn.XLOOKUP(E25,Sequences!$A$2:$A$11,Sequences!$B$2:$B$11)</f>
        <v>0.4667</v>
      </c>
      <c r="J25" t="str">
        <f t="shared" si="6"/>
        <v>No</v>
      </c>
      <c r="K25" s="9" t="s">
        <v>47</v>
      </c>
      <c r="L25">
        <v>50</v>
      </c>
      <c r="M25">
        <v>250</v>
      </c>
      <c r="N25">
        <v>150</v>
      </c>
    </row>
    <row r="26" spans="1:14" x14ac:dyDescent="0.55000000000000004">
      <c r="A26">
        <f t="shared" si="0"/>
        <v>6278.2860000000001</v>
      </c>
      <c r="B26">
        <f t="shared" si="1"/>
        <v>1.91</v>
      </c>
      <c r="C26" s="11">
        <f t="shared" si="2"/>
        <v>0.46333999999999997</v>
      </c>
      <c r="D26">
        <f t="shared" si="3"/>
        <v>4.1222428454266842</v>
      </c>
      <c r="E26" t="str">
        <f t="shared" si="4"/>
        <v>DIAwind</v>
      </c>
      <c r="F26" t="s">
        <v>13</v>
      </c>
      <c r="G26">
        <f>_xlfn.XLOOKUP(E26,Sequences,Sequences!$C$2:$C$11)</f>
        <v>1.9139999999999999</v>
      </c>
      <c r="H26" t="str">
        <f t="shared" si="5"/>
        <v>Yes</v>
      </c>
      <c r="I26" s="10">
        <f>_xlfn.XLOOKUP(E26,Sequences!$A$2:$A$11,Sequences!$B$2:$B$11)</f>
        <v>0.4667</v>
      </c>
      <c r="J26" t="str">
        <f t="shared" si="6"/>
        <v>No</v>
      </c>
      <c r="K26" s="9" t="s">
        <v>48</v>
      </c>
      <c r="L26">
        <v>100</v>
      </c>
      <c r="M26">
        <v>250</v>
      </c>
      <c r="N26">
        <v>40</v>
      </c>
    </row>
    <row r="27" spans="1:14" x14ac:dyDescent="0.55000000000000004">
      <c r="A27">
        <f t="shared" si="0"/>
        <v>6270.598</v>
      </c>
      <c r="B27">
        <f t="shared" si="1"/>
        <v>1.9077</v>
      </c>
      <c r="C27" s="11">
        <f t="shared" si="2"/>
        <v>0.45695000000000002</v>
      </c>
      <c r="D27">
        <f t="shared" si="3"/>
        <v>4.1748550169602794</v>
      </c>
      <c r="E27" t="str">
        <f t="shared" si="4"/>
        <v>DIAwind</v>
      </c>
      <c r="F27" t="s">
        <v>13</v>
      </c>
      <c r="G27">
        <f>_xlfn.XLOOKUP(E27,Sequences,Sequences!$C$2:$C$11)</f>
        <v>1.9139999999999999</v>
      </c>
      <c r="H27" t="str">
        <f t="shared" si="5"/>
        <v>Yes</v>
      </c>
      <c r="I27" s="10">
        <f>_xlfn.XLOOKUP(E27,Sequences!$A$2:$A$11,Sequences!$B$2:$B$11)</f>
        <v>0.4667</v>
      </c>
      <c r="J27" t="str">
        <f t="shared" si="6"/>
        <v>No</v>
      </c>
      <c r="K27" s="9" t="s">
        <v>49</v>
      </c>
      <c r="L27">
        <v>100</v>
      </c>
      <c r="M27">
        <v>250</v>
      </c>
      <c r="N27">
        <v>150</v>
      </c>
    </row>
    <row r="28" spans="1:14" x14ac:dyDescent="0.55000000000000004">
      <c r="A28">
        <f t="shared" si="0"/>
        <v>31850.853999999999</v>
      </c>
      <c r="B28">
        <f t="shared" si="1"/>
        <v>3.1850999999999998</v>
      </c>
      <c r="C28" s="11">
        <f t="shared" si="2"/>
        <v>0.1135</v>
      </c>
      <c r="D28">
        <f t="shared" si="3"/>
        <v>28.062555066079291</v>
      </c>
      <c r="E28" t="str">
        <f t="shared" si="4"/>
        <v>uniform</v>
      </c>
      <c r="F28" t="s">
        <v>13</v>
      </c>
      <c r="G28">
        <f>_xlfn.XLOOKUP(E28,Sequences,Sequences!$C$2:$C$11)</f>
        <v>3.1688000000000001</v>
      </c>
      <c r="H28" t="str">
        <f t="shared" si="5"/>
        <v>No</v>
      </c>
      <c r="I28" s="10">
        <f>_xlfn.XLOOKUP(E28,Sequences!$A$2:$A$11,Sequences!$B$2:$B$11)</f>
        <v>0.1217</v>
      </c>
      <c r="J28" t="str">
        <f t="shared" si="6"/>
        <v>No</v>
      </c>
      <c r="K28" s="6" t="s">
        <v>50</v>
      </c>
      <c r="L28">
        <v>50</v>
      </c>
      <c r="M28">
        <v>250</v>
      </c>
      <c r="N28">
        <v>150</v>
      </c>
    </row>
    <row r="29" spans="1:14" x14ac:dyDescent="0.55000000000000004">
      <c r="A29">
        <f t="shared" si="0"/>
        <v>32469.059000000001</v>
      </c>
      <c r="B29">
        <f t="shared" si="1"/>
        <v>3.2469000000000001</v>
      </c>
      <c r="C29" s="11">
        <f t="shared" si="2"/>
        <v>0.1147</v>
      </c>
      <c r="D29">
        <f t="shared" si="3"/>
        <v>28.307759372275502</v>
      </c>
      <c r="E29" t="str">
        <f t="shared" si="4"/>
        <v>uniform</v>
      </c>
      <c r="F29" t="s">
        <v>13</v>
      </c>
      <c r="G29">
        <f>_xlfn.XLOOKUP(E29,Sequences,Sequences!$C$2:$C$11)</f>
        <v>3.1688000000000001</v>
      </c>
      <c r="H29" t="str">
        <f t="shared" si="5"/>
        <v>No</v>
      </c>
      <c r="I29" s="10">
        <f>_xlfn.XLOOKUP(E29,Sequences!$A$2:$A$11,Sequences!$B$2:$B$11)</f>
        <v>0.1217</v>
      </c>
      <c r="J29" t="str">
        <f t="shared" si="6"/>
        <v>No</v>
      </c>
      <c r="K29" s="6" t="s">
        <v>51</v>
      </c>
      <c r="L29">
        <v>100</v>
      </c>
      <c r="M29">
        <v>250</v>
      </c>
      <c r="N29">
        <v>150</v>
      </c>
    </row>
    <row r="30" spans="1:14" x14ac:dyDescent="0.55000000000000004">
      <c r="A30">
        <f t="shared" si="0"/>
        <v>32246.17</v>
      </c>
      <c r="B30">
        <f t="shared" si="1"/>
        <v>3.2246000000000001</v>
      </c>
      <c r="C30" s="11">
        <f t="shared" si="2"/>
        <v>0.1139</v>
      </c>
      <c r="D30">
        <f t="shared" si="3"/>
        <v>28.310798946444251</v>
      </c>
      <c r="E30" t="str">
        <f t="shared" si="4"/>
        <v>Uniform</v>
      </c>
      <c r="F30" t="s">
        <v>13</v>
      </c>
      <c r="G30">
        <f>_xlfn.XLOOKUP(E30,Sequences,Sequences!$C$2:$C$11)</f>
        <v>3.1688000000000001</v>
      </c>
      <c r="H30" t="str">
        <f t="shared" si="5"/>
        <v>No</v>
      </c>
      <c r="I30" s="10">
        <f>_xlfn.XLOOKUP(E30,Sequences!$A$2:$A$11,Sequences!$B$2:$B$11)</f>
        <v>0.1217</v>
      </c>
      <c r="J30" t="str">
        <f t="shared" si="6"/>
        <v>No</v>
      </c>
      <c r="K30" s="6" t="s">
        <v>52</v>
      </c>
      <c r="L30">
        <v>100</v>
      </c>
      <c r="M30">
        <v>250</v>
      </c>
      <c r="N30">
        <v>150</v>
      </c>
    </row>
    <row r="31" spans="1:14" x14ac:dyDescent="0.55000000000000004">
      <c r="A31">
        <f t="shared" si="0"/>
        <v>32040.548999999999</v>
      </c>
      <c r="B31">
        <f t="shared" si="1"/>
        <v>3.2040999999999999</v>
      </c>
      <c r="C31" s="11">
        <f t="shared" si="2"/>
        <v>0.1095</v>
      </c>
      <c r="D31">
        <f t="shared" si="3"/>
        <v>29.261187214611873</v>
      </c>
      <c r="E31" t="str">
        <f t="shared" si="4"/>
        <v>uniform</v>
      </c>
      <c r="F31" t="s">
        <v>13</v>
      </c>
      <c r="G31">
        <f>_xlfn.XLOOKUP(E31,Sequences,Sequences!$C$2:$C$11)</f>
        <v>3.1688000000000001</v>
      </c>
      <c r="H31" t="str">
        <f t="shared" si="5"/>
        <v>No</v>
      </c>
      <c r="I31" s="10">
        <f>_xlfn.XLOOKUP(E31,Sequences!$A$2:$A$11,Sequences!$B$2:$B$11)</f>
        <v>0.1217</v>
      </c>
      <c r="J31" t="str">
        <f t="shared" si="6"/>
        <v>No</v>
      </c>
      <c r="K31" s="6" t="s">
        <v>53</v>
      </c>
      <c r="L31">
        <v>50</v>
      </c>
      <c r="M31">
        <v>250</v>
      </c>
      <c r="N31">
        <v>40</v>
      </c>
    </row>
    <row r="32" spans="1:14" x14ac:dyDescent="0.55000000000000004">
      <c r="A32">
        <f t="shared" si="0"/>
        <v>38303.574000000001</v>
      </c>
      <c r="B32">
        <f t="shared" si="1"/>
        <v>3.8304</v>
      </c>
      <c r="C32" s="11">
        <f t="shared" si="2"/>
        <v>3.9199999999999999E-2</v>
      </c>
      <c r="D32">
        <f t="shared" si="3"/>
        <v>97.714285714285722</v>
      </c>
      <c r="E32" t="str">
        <f t="shared" si="4"/>
        <v>nonuniform</v>
      </c>
      <c r="F32" t="s">
        <v>13</v>
      </c>
      <c r="G32">
        <f>_xlfn.XLOOKUP(E32,Sequences,Sequences!$C$2:$C$11)</f>
        <v>2.6530999999999998</v>
      </c>
      <c r="H32" t="str">
        <f t="shared" si="5"/>
        <v>No</v>
      </c>
      <c r="I32" s="10">
        <f>_xlfn.XLOOKUP(E32,Sequences!$A$2:$A$11,Sequences!$B$2:$B$11)</f>
        <v>0.34549999999999997</v>
      </c>
      <c r="J32" t="str">
        <f t="shared" si="6"/>
        <v>No</v>
      </c>
      <c r="K32" s="6" t="s">
        <v>54</v>
      </c>
      <c r="L32">
        <v>100</v>
      </c>
      <c r="M32">
        <v>250</v>
      </c>
      <c r="N32">
        <v>150</v>
      </c>
    </row>
    <row r="33" spans="1:14" x14ac:dyDescent="0.55000000000000004">
      <c r="A33">
        <f t="shared" si="0"/>
        <v>34181.218999999997</v>
      </c>
      <c r="B33">
        <f t="shared" si="1"/>
        <v>3.4180999999999999</v>
      </c>
      <c r="C33" s="11">
        <f t="shared" si="2"/>
        <v>3.0300000000000001E-2</v>
      </c>
      <c r="D33">
        <f t="shared" si="3"/>
        <v>112.8085808580858</v>
      </c>
      <c r="E33" t="str">
        <f t="shared" si="4"/>
        <v>nonuniform</v>
      </c>
      <c r="F33" t="s">
        <v>13</v>
      </c>
      <c r="G33">
        <f>_xlfn.XLOOKUP(E33,Sequences,Sequences!$C$2:$C$11)</f>
        <v>2.6530999999999998</v>
      </c>
      <c r="H33" t="str">
        <f t="shared" si="5"/>
        <v>No</v>
      </c>
      <c r="I33" s="10">
        <f>_xlfn.XLOOKUP(E33,Sequences!$A$2:$A$11,Sequences!$B$2:$B$11)</f>
        <v>0.34549999999999997</v>
      </c>
      <c r="J33" t="str">
        <f t="shared" si="6"/>
        <v>No</v>
      </c>
      <c r="K33" s="6" t="s">
        <v>55</v>
      </c>
      <c r="L33">
        <v>50</v>
      </c>
      <c r="M33">
        <v>250</v>
      </c>
      <c r="N33">
        <v>40</v>
      </c>
    </row>
    <row r="34" spans="1:14" x14ac:dyDescent="0.55000000000000004">
      <c r="A34">
        <f t="shared" si="0"/>
        <v>35463.711000000003</v>
      </c>
      <c r="B34">
        <f t="shared" si="1"/>
        <v>3.5464000000000002</v>
      </c>
      <c r="C34" s="11">
        <f t="shared" si="2"/>
        <v>3.1399999999999997E-2</v>
      </c>
      <c r="D34">
        <f t="shared" si="3"/>
        <v>112.94267515923569</v>
      </c>
      <c r="E34" t="str">
        <f t="shared" si="4"/>
        <v>nonuniform</v>
      </c>
      <c r="F34" t="s">
        <v>13</v>
      </c>
      <c r="G34">
        <f>_xlfn.XLOOKUP(E34,Sequences,Sequences!$C$2:$C$11)</f>
        <v>2.6530999999999998</v>
      </c>
      <c r="H34" t="str">
        <f t="shared" si="5"/>
        <v>No</v>
      </c>
      <c r="I34" s="10">
        <f>_xlfn.XLOOKUP(E34,Sequences!$A$2:$A$11,Sequences!$B$2:$B$11)</f>
        <v>0.34549999999999997</v>
      </c>
      <c r="J34" t="str">
        <f t="shared" si="6"/>
        <v>No</v>
      </c>
      <c r="K34" s="6" t="s">
        <v>56</v>
      </c>
      <c r="L34">
        <v>100</v>
      </c>
      <c r="M34">
        <v>250</v>
      </c>
      <c r="N34">
        <v>40</v>
      </c>
    </row>
    <row r="35" spans="1:14" x14ac:dyDescent="0.55000000000000004">
      <c r="A35">
        <f t="shared" si="0"/>
        <v>66471.383000000002</v>
      </c>
      <c r="B35">
        <f t="shared" si="1"/>
        <v>6.6471</v>
      </c>
      <c r="C35" s="11">
        <f t="shared" si="2"/>
        <v>4.8000000000000001E-2</v>
      </c>
      <c r="D35">
        <f t="shared" si="3"/>
        <v>138.48124999999999</v>
      </c>
      <c r="E35" t="str">
        <f t="shared" si="4"/>
        <v>nonuniform</v>
      </c>
      <c r="F35" t="s">
        <v>13</v>
      </c>
      <c r="G35">
        <f>_xlfn.XLOOKUP(E35,Sequences,Sequences!$C$2:$C$11)</f>
        <v>2.6530999999999998</v>
      </c>
      <c r="H35" t="str">
        <f t="shared" si="5"/>
        <v>No</v>
      </c>
      <c r="I35" s="10">
        <f>_xlfn.XLOOKUP(E35,Sequences!$A$2:$A$11,Sequences!$B$2:$B$11)</f>
        <v>0.34549999999999997</v>
      </c>
      <c r="J35" t="str">
        <f t="shared" si="6"/>
        <v>No</v>
      </c>
      <c r="K35" s="6" t="s">
        <v>57</v>
      </c>
      <c r="L35">
        <v>100</v>
      </c>
      <c r="M35">
        <v>250</v>
      </c>
      <c r="N35">
        <v>150</v>
      </c>
    </row>
    <row r="36" spans="1:14" x14ac:dyDescent="0.55000000000000004">
      <c r="A36">
        <f t="shared" si="0"/>
        <v>180907.03099999999</v>
      </c>
      <c r="B36">
        <f t="shared" si="1"/>
        <v>2.4116</v>
      </c>
      <c r="C36" s="11">
        <f t="shared" si="2"/>
        <v>0.42836000000000002</v>
      </c>
      <c r="D36">
        <f t="shared" si="3"/>
        <v>5.6298440564011578</v>
      </c>
      <c r="E36" t="str">
        <f t="shared" si="4"/>
        <v>Dickens</v>
      </c>
      <c r="F36" t="s">
        <v>13</v>
      </c>
      <c r="G36">
        <f>_xlfn.XLOOKUP(E36,Sequences,Sequences!$C$2:$C$11)</f>
        <v>2.9093</v>
      </c>
      <c r="H36" t="str">
        <f t="shared" si="5"/>
        <v>Yes</v>
      </c>
      <c r="I36" s="10">
        <f>_xlfn.XLOOKUP(E36,Sequences!$A$2:$A$11,Sequences!$B$2:$B$11)</f>
        <v>0.2893</v>
      </c>
      <c r="J36" t="str">
        <f t="shared" si="6"/>
        <v>Yes</v>
      </c>
      <c r="K36" s="9" t="s">
        <v>58</v>
      </c>
      <c r="L36">
        <v>50</v>
      </c>
      <c r="M36">
        <v>20</v>
      </c>
      <c r="N36">
        <v>500</v>
      </c>
    </row>
    <row r="37" spans="1:14" x14ac:dyDescent="0.55000000000000004">
      <c r="A37">
        <f t="shared" si="0"/>
        <v>38680.597999999998</v>
      </c>
      <c r="B37">
        <f t="shared" si="1"/>
        <v>3.8681000000000001</v>
      </c>
      <c r="C37" s="11">
        <f t="shared" si="2"/>
        <v>0.10340000000000001</v>
      </c>
      <c r="D37">
        <f t="shared" si="3"/>
        <v>37.409090909090907</v>
      </c>
      <c r="E37" t="str">
        <f t="shared" si="4"/>
        <v>selfadapt</v>
      </c>
      <c r="F37" t="s">
        <v>13</v>
      </c>
      <c r="G37">
        <f>_xlfn.XLOOKUP(E37,Sequences,Sequences!$C$2:$C$11)</f>
        <v>2.6471</v>
      </c>
      <c r="H37" t="str">
        <f t="shared" si="5"/>
        <v>No</v>
      </c>
      <c r="I37" s="10">
        <f>_xlfn.XLOOKUP(E37,Sequences!$A$2:$A$11,Sequences!$B$2:$B$11)</f>
        <v>0.36120000000000002</v>
      </c>
      <c r="J37" t="str">
        <f t="shared" si="6"/>
        <v>No</v>
      </c>
      <c r="K37" s="9" t="s">
        <v>59</v>
      </c>
      <c r="L37">
        <v>50</v>
      </c>
      <c r="M37">
        <v>250</v>
      </c>
      <c r="N37">
        <v>40</v>
      </c>
    </row>
    <row r="38" spans="1:14" x14ac:dyDescent="0.55000000000000004">
      <c r="A38">
        <f t="shared" si="0"/>
        <v>32034.809000000001</v>
      </c>
      <c r="B38">
        <f t="shared" si="1"/>
        <v>3.2035</v>
      </c>
      <c r="C38" s="11">
        <f t="shared" si="2"/>
        <v>0.1129</v>
      </c>
      <c r="D38">
        <f t="shared" si="3"/>
        <v>28.374667847652791</v>
      </c>
      <c r="E38" t="str">
        <f t="shared" si="4"/>
        <v>nonuniform</v>
      </c>
      <c r="F38" t="s">
        <v>13</v>
      </c>
      <c r="G38">
        <f>_xlfn.XLOOKUP(E38,Sequences,Sequences!$C$2:$C$11)</f>
        <v>2.6530999999999998</v>
      </c>
      <c r="H38" t="str">
        <f t="shared" si="5"/>
        <v>No</v>
      </c>
      <c r="I38" s="10">
        <f>_xlfn.XLOOKUP(E38,Sequences!$A$2:$A$11,Sequences!$B$2:$B$11)</f>
        <v>0.34549999999999997</v>
      </c>
      <c r="J38" t="str">
        <f>IF(C38&gt;I38, "Yes", "No")</f>
        <v>No</v>
      </c>
      <c r="K38" s="9" t="s">
        <v>166</v>
      </c>
      <c r="L38">
        <v>100</v>
      </c>
      <c r="M38">
        <v>10</v>
      </c>
      <c r="N38">
        <v>1000</v>
      </c>
    </row>
    <row r="39" spans="1:14" x14ac:dyDescent="0.55000000000000004">
      <c r="A39">
        <f>_xlfn.NUMBERVALUE(_xlfn.TEXTBEFORE(_xlfn.TEXTAFTER(K39,"penalty: "), " bits"))</f>
        <v>6251.7259999999997</v>
      </c>
      <c r="B39">
        <f>_xlfn.NUMBERVALUE(_xlfn.TEXTBEFORE(_xlfn.TEXTAFTER(K39,"bits (")," bits"))</f>
        <v>1.9019999999999999</v>
      </c>
      <c r="C39" s="11">
        <f>_xlfn.NUMBERVALUE(_xlfn.TEXTBEFORE(_xlfn.TEXTAFTER(K39,"predicted "),"% of")/100)</f>
        <v>0.46760000000000002</v>
      </c>
      <c r="D39">
        <f>B39/C39</f>
        <v>4.0675791274593669</v>
      </c>
      <c r="E39" t="str">
        <f>_xlfn.TEXTBEFORE(_xlfn.TEXTAFTER(K39,"in sequence_"),"_")</f>
        <v>DIAwind</v>
      </c>
      <c r="F39" t="s">
        <v>13</v>
      </c>
      <c r="G39">
        <f>_xlfn.XLOOKUP(E39,Sequences,Sequences!$C$2:$C$11)</f>
        <v>1.9139999999999999</v>
      </c>
      <c r="H39" t="str">
        <f t="shared" si="5"/>
        <v>Yes</v>
      </c>
      <c r="I39" s="10">
        <f>_xlfn.XLOOKUP(E39,Sequences!$A$2:$A$11,Sequences!$B$2:$B$11)</f>
        <v>0.4667</v>
      </c>
      <c r="J39" t="str">
        <f>IF(C39&gt;I39, "Yes", "No")</f>
        <v>Yes</v>
      </c>
      <c r="K39" s="9" t="s">
        <v>167</v>
      </c>
      <c r="L39">
        <v>15</v>
      </c>
      <c r="M39">
        <v>1000</v>
      </c>
      <c r="N39">
        <v>1000</v>
      </c>
    </row>
    <row r="40" spans="1:14" x14ac:dyDescent="0.55000000000000004">
      <c r="A40">
        <f>_xlfn.NUMBERVALUE(_xlfn.TEXTBEFORE(_xlfn.TEXTAFTER(K40,"penalty: "), " bits"))</f>
        <v>1092.646</v>
      </c>
      <c r="B40">
        <f>_xlfn.NUMBERVALUE(_xlfn.TEXTBEFORE(_xlfn.TEXTAFTER(K40,"bits (")," bits"))</f>
        <v>1.2141</v>
      </c>
      <c r="C40" s="11">
        <f>_xlfn.NUMBERVALUE(_xlfn.TEXTBEFORE(_xlfn.TEXTAFTER(K40,"predicted "),"% of")/100)</f>
        <v>0.76222000000000001</v>
      </c>
      <c r="D40">
        <f>B40/C40</f>
        <v>1.5928472094670829</v>
      </c>
      <c r="E40" t="str">
        <f>_xlfn.TEXTBEFORE(_xlfn.TEXTAFTER(K40,"in sequence_"),"_")</f>
        <v>heart1</v>
      </c>
      <c r="F40" t="s">
        <v>13</v>
      </c>
      <c r="G40">
        <f>_xlfn.XLOOKUP(E40,Sequences,Sequences!$C$2:$C$11)</f>
        <v>2.6314000000000002</v>
      </c>
      <c r="H40" t="str">
        <f t="shared" si="5"/>
        <v>Yes</v>
      </c>
      <c r="I40" s="10">
        <f>_xlfn.XLOOKUP(E40,Sequences!$A$2:$A$11,Sequences!$B$2:$B$11)</f>
        <v>0.26219999999999999</v>
      </c>
      <c r="J40" t="str">
        <f>IF(C40&gt;I40, "Yes", "No")</f>
        <v>Yes</v>
      </c>
      <c r="K40" s="9" t="s">
        <v>168</v>
      </c>
      <c r="L40">
        <v>15</v>
      </c>
      <c r="M40">
        <v>500</v>
      </c>
      <c r="N40">
        <v>500</v>
      </c>
    </row>
  </sheetData>
  <autoFilter ref="A2:N2" xr:uid="{50B7CAC5-628A-43AE-BDF9-8BA5958ADA60}"/>
  <conditionalFormatting sqref="J3:K31 J32:J40">
    <cfRule type="cellIs" dxfId="32" priority="2" operator="equal">
      <formula>"No"</formula>
    </cfRule>
  </conditionalFormatting>
  <conditionalFormatting sqref="H3:H40">
    <cfRule type="cellIs" dxfId="31" priority="1" operator="equal">
      <formula>"No"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335E-D16B-459C-8A3C-9DA7A42FF5CF}">
  <dimension ref="A1:P31"/>
  <sheetViews>
    <sheetView workbookViewId="0">
      <selection activeCell="B1" sqref="B1"/>
    </sheetView>
  </sheetViews>
  <sheetFormatPr defaultColWidth="8.83984375" defaultRowHeight="14.4" x14ac:dyDescent="0.55000000000000004"/>
  <cols>
    <col min="1" max="1" width="13.15625" bestFit="1" customWidth="1"/>
    <col min="2" max="2" width="8.83984375" bestFit="1" customWidth="1"/>
    <col min="3" max="3" width="10.26171875" style="11" bestFit="1" customWidth="1"/>
    <col min="4" max="5" width="12.83984375" customWidth="1"/>
    <col min="6" max="6" width="19" bestFit="1" customWidth="1"/>
    <col min="8" max="8" width="8.05078125" bestFit="1" customWidth="1"/>
    <col min="11" max="11" width="8.83984375" style="6"/>
    <col min="12" max="12" width="20.68359375" style="24" customWidth="1"/>
    <col min="13" max="13" width="8.41796875" bestFit="1" customWidth="1"/>
    <col min="14" max="14" width="10.41796875" bestFit="1" customWidth="1"/>
    <col min="15" max="15" width="14" bestFit="1" customWidth="1"/>
    <col min="16" max="16" width="8.26171875" bestFit="1" customWidth="1"/>
  </cols>
  <sheetData>
    <row r="1" spans="1:16" x14ac:dyDescent="0.55000000000000004">
      <c r="A1" t="s">
        <v>60</v>
      </c>
      <c r="K1"/>
    </row>
    <row r="2" spans="1:16" s="3" customFormat="1" ht="57.6" x14ac:dyDescent="0.55000000000000004">
      <c r="A2" s="20" t="s">
        <v>14</v>
      </c>
      <c r="B2" s="21" t="s">
        <v>15</v>
      </c>
      <c r="C2" s="22" t="s">
        <v>16</v>
      </c>
      <c r="D2" s="20" t="s">
        <v>17</v>
      </c>
      <c r="E2" s="20" t="s">
        <v>18</v>
      </c>
      <c r="F2" s="20" t="s">
        <v>19</v>
      </c>
      <c r="G2" s="3" t="s">
        <v>169</v>
      </c>
      <c r="H2" s="3" t="s">
        <v>170</v>
      </c>
      <c r="I2" s="20" t="s">
        <v>1</v>
      </c>
      <c r="J2" s="20" t="s">
        <v>20</v>
      </c>
      <c r="K2" s="20" t="s">
        <v>21</v>
      </c>
      <c r="L2" s="25" t="s">
        <v>61</v>
      </c>
      <c r="M2" s="20" t="s">
        <v>23</v>
      </c>
      <c r="N2" s="20" t="s">
        <v>24</v>
      </c>
      <c r="O2" s="20" t="s">
        <v>62</v>
      </c>
      <c r="P2" s="20" t="s">
        <v>63</v>
      </c>
    </row>
    <row r="3" spans="1:16" x14ac:dyDescent="0.55000000000000004">
      <c r="A3" s="8">
        <f t="shared" ref="A3:A23" si="0">_xlfn.NUMBERVALUE(_xlfn.TEXTBEFORE(_xlfn.TEXTAFTER(K3,"penalty: "), " bits"))</f>
        <v>712.35400000000004</v>
      </c>
      <c r="B3" s="5">
        <f t="shared" ref="B3:B23" si="1">_xlfn.NUMBERVALUE(_xlfn.TEXTBEFORE(_xlfn.TEXTAFTER(K3,"bits (")," bits"))</f>
        <v>0.74829999999999997</v>
      </c>
      <c r="C3" s="7">
        <f t="shared" ref="C3:C23" si="2">_xlfn.NUMBERVALUE(_xlfn.TEXTBEFORE(_xlfn.TEXTAFTER(K3,"predicted "),"% of")/100)</f>
        <v>0.85714000000000001</v>
      </c>
      <c r="D3">
        <f t="shared" ref="D3:D23" si="3">B3/C3</f>
        <v>0.87301957673192243</v>
      </c>
      <c r="E3" t="str">
        <f t="shared" ref="E3:E23" si="4">_xlfn.TEXTBEFORE(_xlfn.TEXTAFTER(K3,"in sequence_"),"_")</f>
        <v>solarWind</v>
      </c>
      <c r="F3" t="s">
        <v>60</v>
      </c>
      <c r="G3">
        <f>_xlfn.XLOOKUP(E3,Sequences,Sequences!$C$2:$C$11)</f>
        <v>1.9595</v>
      </c>
      <c r="H3" t="str">
        <f t="shared" ref="H3:H23" si="5">IF(B3&lt;G3,"Yes","No")</f>
        <v>Yes</v>
      </c>
      <c r="I3" s="10">
        <f>_xlfn.XLOOKUP(E3,Sequences!$A$2:$A$11,Sequences!$B$2:$B$11)</f>
        <v>0.4758</v>
      </c>
      <c r="J3" t="str">
        <f t="shared" ref="J3:J23" si="6">IF(C3&gt;I3, "Yes", "No")</f>
        <v>Yes</v>
      </c>
      <c r="K3" s="9" t="s">
        <v>64</v>
      </c>
      <c r="L3" s="24" t="s">
        <v>65</v>
      </c>
      <c r="M3">
        <v>250</v>
      </c>
      <c r="N3">
        <v>40</v>
      </c>
      <c r="O3" s="4" t="s">
        <v>66</v>
      </c>
      <c r="P3" s="4" t="s">
        <v>67</v>
      </c>
    </row>
    <row r="4" spans="1:16" x14ac:dyDescent="0.55000000000000004">
      <c r="A4" s="8">
        <f t="shared" si="0"/>
        <v>712.35699999999997</v>
      </c>
      <c r="B4" s="5">
        <f t="shared" si="1"/>
        <v>0.74829999999999997</v>
      </c>
      <c r="C4" s="7">
        <f t="shared" si="2"/>
        <v>0.85714000000000001</v>
      </c>
      <c r="D4">
        <f t="shared" si="3"/>
        <v>0.87301957673192243</v>
      </c>
      <c r="E4" t="str">
        <f t="shared" si="4"/>
        <v>solarWind</v>
      </c>
      <c r="F4" t="s">
        <v>60</v>
      </c>
      <c r="G4">
        <f>_xlfn.XLOOKUP(E4,Sequences,Sequences!$C$2:$C$11)</f>
        <v>1.9595</v>
      </c>
      <c r="H4" t="str">
        <f t="shared" si="5"/>
        <v>Yes</v>
      </c>
      <c r="I4" s="10">
        <f>_xlfn.XLOOKUP(E4,Sequences!$A$2:$A$11,Sequences!$B$2:$B$11)</f>
        <v>0.4758</v>
      </c>
      <c r="J4" t="str">
        <f t="shared" si="6"/>
        <v>Yes</v>
      </c>
      <c r="K4" s="9" t="s">
        <v>68</v>
      </c>
      <c r="L4" s="24" t="s">
        <v>69</v>
      </c>
      <c r="M4">
        <v>250</v>
      </c>
      <c r="N4">
        <v>40</v>
      </c>
      <c r="O4" s="4" t="s">
        <v>66</v>
      </c>
      <c r="P4" s="4" t="s">
        <v>67</v>
      </c>
    </row>
    <row r="5" spans="1:16" x14ac:dyDescent="0.55000000000000004">
      <c r="A5" s="8">
        <f t="shared" si="0"/>
        <v>824.94299999999998</v>
      </c>
      <c r="B5" s="5">
        <f t="shared" si="1"/>
        <v>0.91659999999999997</v>
      </c>
      <c r="C5" s="7">
        <f t="shared" si="2"/>
        <v>0.81444000000000005</v>
      </c>
      <c r="D5">
        <f t="shared" si="3"/>
        <v>1.1254358823240507</v>
      </c>
      <c r="E5" t="str">
        <f t="shared" si="4"/>
        <v>heart2</v>
      </c>
      <c r="F5" t="s">
        <v>60</v>
      </c>
      <c r="G5">
        <f>_xlfn.XLOOKUP(E5,Sequences,Sequences!$C$2:$C$11)</f>
        <v>2.4636</v>
      </c>
      <c r="H5" t="str">
        <f t="shared" si="5"/>
        <v>Yes</v>
      </c>
      <c r="I5" s="10">
        <f>_xlfn.XLOOKUP(E5,Sequences!$A$2:$A$11,Sequences!$B$2:$B$11)</f>
        <v>0.27889999999999998</v>
      </c>
      <c r="J5" t="str">
        <f t="shared" si="6"/>
        <v>Yes</v>
      </c>
      <c r="K5" s="9" t="s">
        <v>70</v>
      </c>
      <c r="L5" s="24" t="s">
        <v>71</v>
      </c>
      <c r="M5">
        <v>250</v>
      </c>
      <c r="N5">
        <v>40</v>
      </c>
      <c r="O5" s="4" t="s">
        <v>66</v>
      </c>
      <c r="P5" s="4" t="s">
        <v>67</v>
      </c>
    </row>
    <row r="6" spans="1:16" x14ac:dyDescent="0.55000000000000004">
      <c r="A6" s="8">
        <f t="shared" si="0"/>
        <v>824.899</v>
      </c>
      <c r="B6" s="5">
        <f t="shared" si="1"/>
        <v>0.91659999999999997</v>
      </c>
      <c r="C6" s="7">
        <f t="shared" si="2"/>
        <v>0.81444000000000005</v>
      </c>
      <c r="D6">
        <f t="shared" si="3"/>
        <v>1.1254358823240507</v>
      </c>
      <c r="E6" t="str">
        <f t="shared" si="4"/>
        <v>heart2</v>
      </c>
      <c r="F6" t="s">
        <v>60</v>
      </c>
      <c r="G6">
        <f>_xlfn.XLOOKUP(E6,Sequences,Sequences!$C$2:$C$11)</f>
        <v>2.4636</v>
      </c>
      <c r="H6" t="str">
        <f t="shared" si="5"/>
        <v>Yes</v>
      </c>
      <c r="I6" s="10">
        <f>_xlfn.XLOOKUP(E6,Sequences!$A$2:$A$11,Sequences!$B$2:$B$11)</f>
        <v>0.27889999999999998</v>
      </c>
      <c r="J6" t="str">
        <f t="shared" si="6"/>
        <v>Yes</v>
      </c>
      <c r="K6" s="9" t="s">
        <v>72</v>
      </c>
      <c r="L6" s="24" t="s">
        <v>73</v>
      </c>
      <c r="M6">
        <v>250</v>
      </c>
      <c r="N6">
        <v>40</v>
      </c>
      <c r="O6" s="4" t="s">
        <v>66</v>
      </c>
      <c r="P6" s="4" t="s">
        <v>67</v>
      </c>
    </row>
    <row r="7" spans="1:16" x14ac:dyDescent="0.55000000000000004">
      <c r="A7" s="8">
        <f t="shared" si="0"/>
        <v>827.71799999999996</v>
      </c>
      <c r="B7" s="5">
        <f t="shared" si="1"/>
        <v>0.91969999999999996</v>
      </c>
      <c r="C7" s="7">
        <f t="shared" si="2"/>
        <v>0.81667000000000001</v>
      </c>
      <c r="D7">
        <f t="shared" si="3"/>
        <v>1.1261586687401275</v>
      </c>
      <c r="E7" t="str">
        <f t="shared" si="4"/>
        <v>heart2</v>
      </c>
      <c r="F7" t="s">
        <v>60</v>
      </c>
      <c r="G7">
        <f>_xlfn.XLOOKUP(E7,Sequences,Sequences!$C$2:$C$11)</f>
        <v>2.4636</v>
      </c>
      <c r="H7" t="str">
        <f t="shared" si="5"/>
        <v>Yes</v>
      </c>
      <c r="I7" s="10">
        <f>_xlfn.XLOOKUP(E7,Sequences!$A$2:$A$11,Sequences!$B$2:$B$11)</f>
        <v>0.27889999999999998</v>
      </c>
      <c r="J7" t="str">
        <f t="shared" si="6"/>
        <v>Yes</v>
      </c>
      <c r="K7" s="9" t="s">
        <v>74</v>
      </c>
      <c r="L7" s="24" t="s">
        <v>75</v>
      </c>
      <c r="M7">
        <v>250</v>
      </c>
      <c r="N7">
        <v>40</v>
      </c>
      <c r="O7" s="4" t="s">
        <v>66</v>
      </c>
      <c r="P7" s="4" t="s">
        <v>67</v>
      </c>
    </row>
    <row r="8" spans="1:16" x14ac:dyDescent="0.55000000000000004">
      <c r="A8" s="8">
        <f t="shared" si="0"/>
        <v>828.05100000000004</v>
      </c>
      <c r="B8" s="5">
        <f t="shared" si="1"/>
        <v>0.92010000000000003</v>
      </c>
      <c r="C8" s="7">
        <f t="shared" si="2"/>
        <v>0.81667000000000001</v>
      </c>
      <c r="D8">
        <f t="shared" si="3"/>
        <v>1.126648462659336</v>
      </c>
      <c r="E8" t="str">
        <f t="shared" si="4"/>
        <v>heart2</v>
      </c>
      <c r="F8" t="s">
        <v>60</v>
      </c>
      <c r="G8">
        <f>_xlfn.XLOOKUP(E8,Sequences,Sequences!$C$2:$C$11)</f>
        <v>2.4636</v>
      </c>
      <c r="H8" t="str">
        <f t="shared" si="5"/>
        <v>Yes</v>
      </c>
      <c r="I8" s="10">
        <f>_xlfn.XLOOKUP(E8,Sequences!$A$2:$A$11,Sequences!$B$2:$B$11)</f>
        <v>0.27889999999999998</v>
      </c>
      <c r="J8" t="str">
        <f t="shared" si="6"/>
        <v>Yes</v>
      </c>
      <c r="K8" s="9" t="s">
        <v>76</v>
      </c>
      <c r="L8" s="24" t="s">
        <v>75</v>
      </c>
      <c r="M8">
        <v>250</v>
      </c>
      <c r="N8">
        <v>40</v>
      </c>
      <c r="O8" s="4" t="s">
        <v>66</v>
      </c>
      <c r="P8" s="4" t="s">
        <v>67</v>
      </c>
    </row>
    <row r="9" spans="1:16" x14ac:dyDescent="0.55000000000000004">
      <c r="A9" s="8">
        <f t="shared" si="0"/>
        <v>854.60299999999995</v>
      </c>
      <c r="B9" s="5">
        <f t="shared" si="1"/>
        <v>0.89770000000000005</v>
      </c>
      <c r="C9" s="7">
        <f t="shared" si="2"/>
        <v>0.76049999999999995</v>
      </c>
      <c r="D9">
        <f t="shared" si="3"/>
        <v>1.1804076265614729</v>
      </c>
      <c r="E9" t="str">
        <f t="shared" si="4"/>
        <v>solarWind</v>
      </c>
      <c r="F9" t="s">
        <v>60</v>
      </c>
      <c r="G9">
        <f>_xlfn.XLOOKUP(E9,Sequences,Sequences!$C$2:$C$11)</f>
        <v>1.9595</v>
      </c>
      <c r="H9" t="str">
        <f t="shared" si="5"/>
        <v>Yes</v>
      </c>
      <c r="I9" s="10">
        <f>_xlfn.XLOOKUP(E9,Sequences!$A$2:$A$11,Sequences!$B$2:$B$11)</f>
        <v>0.4758</v>
      </c>
      <c r="J9" t="str">
        <f t="shared" si="6"/>
        <v>Yes</v>
      </c>
      <c r="K9" s="9" t="s">
        <v>77</v>
      </c>
      <c r="L9" s="24" t="s">
        <v>75</v>
      </c>
      <c r="M9">
        <v>250</v>
      </c>
      <c r="N9">
        <v>40</v>
      </c>
      <c r="O9" s="4" t="s">
        <v>66</v>
      </c>
      <c r="P9" s="4" t="s">
        <v>67</v>
      </c>
    </row>
    <row r="10" spans="1:16" x14ac:dyDescent="0.55000000000000004">
      <c r="A10" s="8">
        <f t="shared" si="0"/>
        <v>10093.81</v>
      </c>
      <c r="B10" s="5">
        <f t="shared" si="1"/>
        <v>1.7853000000000001</v>
      </c>
      <c r="C10" s="7">
        <f t="shared" si="2"/>
        <v>0.60133999999999999</v>
      </c>
      <c r="D10">
        <f t="shared" si="3"/>
        <v>2.9688695247281074</v>
      </c>
      <c r="E10" t="str">
        <f t="shared" si="4"/>
        <v>Hawaiian</v>
      </c>
      <c r="F10" t="s">
        <v>60</v>
      </c>
      <c r="G10">
        <f>_xlfn.XLOOKUP(E10,Sequences,Sequences!$C$2:$C$11)</f>
        <v>2.0611000000000002</v>
      </c>
      <c r="H10" t="str">
        <f t="shared" si="5"/>
        <v>Yes</v>
      </c>
      <c r="I10" s="10">
        <f>_xlfn.XLOOKUP(E10,Sequences!$A$2:$A$11,Sequences!$B$2:$B$11)</f>
        <v>0.42470000000000002</v>
      </c>
      <c r="J10" t="str">
        <f t="shared" si="6"/>
        <v>Yes</v>
      </c>
      <c r="K10" s="6" t="s">
        <v>78</v>
      </c>
      <c r="L10" s="24" t="s">
        <v>75</v>
      </c>
      <c r="M10">
        <v>250</v>
      </c>
      <c r="N10">
        <v>40</v>
      </c>
      <c r="O10" s="4" t="s">
        <v>66</v>
      </c>
      <c r="P10" s="4" t="s">
        <v>67</v>
      </c>
    </row>
    <row r="11" spans="1:16" x14ac:dyDescent="0.55000000000000004">
      <c r="A11" s="8">
        <f t="shared" si="0"/>
        <v>10167.869000000001</v>
      </c>
      <c r="B11" s="5">
        <f t="shared" si="1"/>
        <v>1.7983</v>
      </c>
      <c r="C11" s="7">
        <f t="shared" si="2"/>
        <v>0.60133999999999999</v>
      </c>
      <c r="D11">
        <f t="shared" si="3"/>
        <v>2.9904879103335884</v>
      </c>
      <c r="E11" t="str">
        <f t="shared" si="4"/>
        <v>Hawaiian</v>
      </c>
      <c r="F11" t="s">
        <v>60</v>
      </c>
      <c r="G11">
        <f>_xlfn.XLOOKUP(E11,Sequences,Sequences!$C$2:$C$11)</f>
        <v>2.0611000000000002</v>
      </c>
      <c r="H11" t="str">
        <f t="shared" si="5"/>
        <v>Yes</v>
      </c>
      <c r="I11" s="10">
        <f>_xlfn.XLOOKUP(E11,Sequences!$A$2:$A$11,Sequences!$B$2:$B$11)</f>
        <v>0.42470000000000002</v>
      </c>
      <c r="J11" t="str">
        <f t="shared" si="6"/>
        <v>Yes</v>
      </c>
      <c r="K11" s="6" t="s">
        <v>79</v>
      </c>
      <c r="L11" s="24" t="s">
        <v>80</v>
      </c>
      <c r="M11">
        <v>250</v>
      </c>
      <c r="N11">
        <v>40</v>
      </c>
      <c r="O11" s="4" t="s">
        <v>66</v>
      </c>
      <c r="P11" s="4" t="s">
        <v>67</v>
      </c>
    </row>
    <row r="12" spans="1:16" x14ac:dyDescent="0.55000000000000004">
      <c r="A12" s="8">
        <f t="shared" si="0"/>
        <v>10263.27</v>
      </c>
      <c r="B12" s="5">
        <f t="shared" si="1"/>
        <v>1.8151999999999999</v>
      </c>
      <c r="C12" s="7">
        <f t="shared" si="2"/>
        <v>0.60133999999999999</v>
      </c>
      <c r="D12">
        <f t="shared" si="3"/>
        <v>3.0185918116207135</v>
      </c>
      <c r="E12" t="str">
        <f t="shared" si="4"/>
        <v>Hawaiian</v>
      </c>
      <c r="F12" t="s">
        <v>60</v>
      </c>
      <c r="G12">
        <f>_xlfn.XLOOKUP(E12,Sequences,Sequences!$C$2:$C$11)</f>
        <v>2.0611000000000002</v>
      </c>
      <c r="H12" t="str">
        <f t="shared" si="5"/>
        <v>Yes</v>
      </c>
      <c r="I12" s="10">
        <f>_xlfn.XLOOKUP(E12,Sequences!$A$2:$A$11,Sequences!$B$2:$B$11)</f>
        <v>0.42470000000000002</v>
      </c>
      <c r="J12" t="str">
        <f t="shared" si="6"/>
        <v>Yes</v>
      </c>
      <c r="K12" s="6" t="s">
        <v>81</v>
      </c>
      <c r="L12" s="24" t="s">
        <v>73</v>
      </c>
      <c r="M12">
        <v>250</v>
      </c>
      <c r="N12">
        <v>40</v>
      </c>
      <c r="O12" s="4" t="s">
        <v>66</v>
      </c>
      <c r="P12" s="4" t="s">
        <v>67</v>
      </c>
    </row>
    <row r="13" spans="1:16" x14ac:dyDescent="0.55000000000000004">
      <c r="A13" s="8">
        <f t="shared" si="0"/>
        <v>10263.27</v>
      </c>
      <c r="B13" s="5">
        <f t="shared" si="1"/>
        <v>1.8151999999999999</v>
      </c>
      <c r="C13" s="7">
        <f t="shared" si="2"/>
        <v>0.60133999999999999</v>
      </c>
      <c r="D13">
        <f t="shared" si="3"/>
        <v>3.0185918116207135</v>
      </c>
      <c r="E13" t="str">
        <f t="shared" si="4"/>
        <v>Hawaiian</v>
      </c>
      <c r="F13" t="s">
        <v>60</v>
      </c>
      <c r="G13">
        <f>_xlfn.XLOOKUP(E13,Sequences,Sequences!$C$2:$C$11)</f>
        <v>2.0611000000000002</v>
      </c>
      <c r="H13" t="str">
        <f t="shared" si="5"/>
        <v>Yes</v>
      </c>
      <c r="I13" s="10">
        <f>_xlfn.XLOOKUP(E13,Sequences!$A$2:$A$11,Sequences!$B$2:$B$11)</f>
        <v>0.42470000000000002</v>
      </c>
      <c r="J13" t="str">
        <f t="shared" si="6"/>
        <v>Yes</v>
      </c>
      <c r="K13" s="6" t="s">
        <v>81</v>
      </c>
      <c r="L13" s="24" t="s">
        <v>82</v>
      </c>
      <c r="M13">
        <v>250</v>
      </c>
      <c r="N13">
        <v>40</v>
      </c>
      <c r="O13" s="4" t="s">
        <v>66</v>
      </c>
      <c r="P13" s="4" t="s">
        <v>67</v>
      </c>
    </row>
    <row r="14" spans="1:16" x14ac:dyDescent="0.55000000000000004">
      <c r="A14" s="8">
        <f t="shared" si="0"/>
        <v>5618.3040000000001</v>
      </c>
      <c r="B14" s="5">
        <f t="shared" si="1"/>
        <v>1.7092000000000001</v>
      </c>
      <c r="C14" s="7">
        <f t="shared" si="2"/>
        <v>0.50927999999999995</v>
      </c>
      <c r="D14">
        <f t="shared" si="3"/>
        <v>3.3561105874960733</v>
      </c>
      <c r="E14" t="str">
        <f t="shared" si="4"/>
        <v>DIAtemp</v>
      </c>
      <c r="F14" t="s">
        <v>60</v>
      </c>
      <c r="G14">
        <f>_xlfn.XLOOKUP(E14,Sequences,Sequences!$C$2:$C$11)</f>
        <v>2.5186999999999999</v>
      </c>
      <c r="H14" t="str">
        <f t="shared" si="5"/>
        <v>Yes</v>
      </c>
      <c r="I14" s="10">
        <f>_xlfn.XLOOKUP(E14,Sequences!$A$2:$A$11,Sequences!$B$2:$B$11)</f>
        <v>0.22</v>
      </c>
      <c r="J14" t="str">
        <f t="shared" si="6"/>
        <v>Yes</v>
      </c>
      <c r="K14" s="6" t="s">
        <v>83</v>
      </c>
      <c r="L14" s="24" t="s">
        <v>73</v>
      </c>
      <c r="M14">
        <v>250</v>
      </c>
      <c r="N14">
        <v>40</v>
      </c>
      <c r="O14" s="4" t="s">
        <v>66</v>
      </c>
      <c r="P14" s="4" t="s">
        <v>67</v>
      </c>
    </row>
    <row r="15" spans="1:16" x14ac:dyDescent="0.55000000000000004">
      <c r="A15" s="8">
        <f t="shared" si="0"/>
        <v>5638.2669999999998</v>
      </c>
      <c r="B15" s="5">
        <f t="shared" si="1"/>
        <v>1.7153</v>
      </c>
      <c r="C15" s="7">
        <f t="shared" si="2"/>
        <v>0.50927999999999995</v>
      </c>
      <c r="D15">
        <f t="shared" si="3"/>
        <v>3.3680882814954449</v>
      </c>
      <c r="E15" t="str">
        <f t="shared" si="4"/>
        <v>DIAtemp</v>
      </c>
      <c r="F15" t="s">
        <v>60</v>
      </c>
      <c r="G15">
        <f>_xlfn.XLOOKUP(E15,Sequences,Sequences!$C$2:$C$11)</f>
        <v>2.5186999999999999</v>
      </c>
      <c r="H15" t="str">
        <f t="shared" si="5"/>
        <v>Yes</v>
      </c>
      <c r="I15" s="10">
        <f>_xlfn.XLOOKUP(E15,Sequences!$A$2:$A$11,Sequences!$B$2:$B$11)</f>
        <v>0.22</v>
      </c>
      <c r="J15" t="str">
        <f t="shared" si="6"/>
        <v>Yes</v>
      </c>
      <c r="K15" s="6" t="s">
        <v>84</v>
      </c>
      <c r="L15" s="24" t="s">
        <v>75</v>
      </c>
      <c r="M15">
        <v>250</v>
      </c>
      <c r="N15">
        <v>40</v>
      </c>
      <c r="O15" s="4" t="s">
        <v>66</v>
      </c>
      <c r="P15" s="4" t="s">
        <v>67</v>
      </c>
    </row>
    <row r="16" spans="1:16" x14ac:dyDescent="0.55000000000000004">
      <c r="A16" s="8">
        <f t="shared" si="0"/>
        <v>6210.174</v>
      </c>
      <c r="B16" s="5">
        <f t="shared" si="1"/>
        <v>1.8893</v>
      </c>
      <c r="C16" s="7">
        <f t="shared" si="2"/>
        <v>0.46425</v>
      </c>
      <c r="D16">
        <f t="shared" si="3"/>
        <v>4.0695745826602048</v>
      </c>
      <c r="E16" t="str">
        <f t="shared" si="4"/>
        <v>DIAwind</v>
      </c>
      <c r="F16" t="s">
        <v>60</v>
      </c>
      <c r="G16">
        <f>_xlfn.XLOOKUP(E16,Sequences,Sequences!$C$2:$C$11)</f>
        <v>1.9139999999999999</v>
      </c>
      <c r="H16" t="str">
        <f t="shared" si="5"/>
        <v>Yes</v>
      </c>
      <c r="I16" s="10">
        <f>_xlfn.XLOOKUP(E16,Sequences!$A$2:$A$11,Sequences!$B$2:$B$11)</f>
        <v>0.4667</v>
      </c>
      <c r="J16" t="str">
        <f t="shared" si="6"/>
        <v>No</v>
      </c>
      <c r="K16" s="6" t="s">
        <v>85</v>
      </c>
      <c r="L16" s="24" t="s">
        <v>75</v>
      </c>
      <c r="M16">
        <v>250</v>
      </c>
      <c r="N16">
        <v>40</v>
      </c>
      <c r="O16" s="4" t="s">
        <v>66</v>
      </c>
      <c r="P16" s="4" t="s">
        <v>67</v>
      </c>
    </row>
    <row r="17" spans="1:16" x14ac:dyDescent="0.55000000000000004">
      <c r="A17" s="8">
        <f t="shared" si="0"/>
        <v>6247.8739999999998</v>
      </c>
      <c r="B17" s="5">
        <f t="shared" si="1"/>
        <v>1.9008</v>
      </c>
      <c r="C17" s="7">
        <f t="shared" si="2"/>
        <v>0.46364</v>
      </c>
      <c r="D17">
        <f t="shared" si="3"/>
        <v>4.0997325511172464</v>
      </c>
      <c r="E17" t="str">
        <f t="shared" si="4"/>
        <v>DIAwind</v>
      </c>
      <c r="F17" t="s">
        <v>60</v>
      </c>
      <c r="G17">
        <f>_xlfn.XLOOKUP(E17,Sequences,Sequences!$C$2:$C$11)</f>
        <v>1.9139999999999999</v>
      </c>
      <c r="H17" t="str">
        <f t="shared" si="5"/>
        <v>Yes</v>
      </c>
      <c r="I17" s="10">
        <f>_xlfn.XLOOKUP(E17,Sequences!$A$2:$A$11,Sequences!$B$2:$B$11)</f>
        <v>0.4667</v>
      </c>
      <c r="J17" t="str">
        <f t="shared" si="6"/>
        <v>No</v>
      </c>
      <c r="K17" s="6" t="s">
        <v>86</v>
      </c>
      <c r="L17" s="24" t="s">
        <v>65</v>
      </c>
      <c r="M17">
        <v>250</v>
      </c>
      <c r="N17">
        <v>40</v>
      </c>
      <c r="O17" s="4" t="s">
        <v>66</v>
      </c>
      <c r="P17" s="4" t="s">
        <v>67</v>
      </c>
    </row>
    <row r="18" spans="1:16" x14ac:dyDescent="0.55000000000000004">
      <c r="A18" s="8">
        <f t="shared" si="0"/>
        <v>6340.0420000000004</v>
      </c>
      <c r="B18" s="5">
        <f t="shared" si="1"/>
        <v>1.9288000000000001</v>
      </c>
      <c r="C18" s="7">
        <f t="shared" si="2"/>
        <v>0.46882000000000001</v>
      </c>
      <c r="D18">
        <f t="shared" si="3"/>
        <v>4.1141589522631286</v>
      </c>
      <c r="E18" t="str">
        <f t="shared" si="4"/>
        <v>DIAwind</v>
      </c>
      <c r="F18" t="s">
        <v>60</v>
      </c>
      <c r="G18">
        <f>_xlfn.XLOOKUP(E18,Sequences,Sequences!$C$2:$C$11)</f>
        <v>1.9139999999999999</v>
      </c>
      <c r="H18" t="str">
        <f t="shared" si="5"/>
        <v>No</v>
      </c>
      <c r="I18" s="10">
        <f>_xlfn.XLOOKUP(E18,Sequences!$A$2:$A$11,Sequences!$B$2:$B$11)</f>
        <v>0.4667</v>
      </c>
      <c r="J18" t="str">
        <f t="shared" si="6"/>
        <v>Yes</v>
      </c>
      <c r="K18" s="6" t="s">
        <v>87</v>
      </c>
      <c r="L18" s="24" t="s">
        <v>75</v>
      </c>
      <c r="M18" s="4" t="s">
        <v>66</v>
      </c>
      <c r="N18">
        <v>40</v>
      </c>
      <c r="O18" s="4">
        <v>1</v>
      </c>
      <c r="P18" s="4" t="s">
        <v>88</v>
      </c>
    </row>
    <row r="19" spans="1:16" x14ac:dyDescent="0.55000000000000004">
      <c r="A19" s="8">
        <f t="shared" si="0"/>
        <v>31763.324000000001</v>
      </c>
      <c r="B19" s="5">
        <f t="shared" si="1"/>
        <v>3.1762999999999999</v>
      </c>
      <c r="C19" s="11">
        <f t="shared" si="2"/>
        <v>0.11459999999999999</v>
      </c>
      <c r="D19">
        <f t="shared" si="3"/>
        <v>27.716404886561957</v>
      </c>
      <c r="E19" t="str">
        <f t="shared" si="4"/>
        <v>uniform</v>
      </c>
      <c r="F19" t="s">
        <v>60</v>
      </c>
      <c r="G19">
        <f>_xlfn.XLOOKUP(E19,Sequences,Sequences!$C$2:$C$11)</f>
        <v>3.1688000000000001</v>
      </c>
      <c r="H19" t="str">
        <f t="shared" si="5"/>
        <v>No</v>
      </c>
      <c r="I19" s="10">
        <f>_xlfn.XLOOKUP(E19,Sequences!$A$2:$A$11,Sequences!$B$2:$B$11)</f>
        <v>0.1217</v>
      </c>
      <c r="J19" t="str">
        <f t="shared" si="6"/>
        <v>No</v>
      </c>
      <c r="K19" s="6" t="s">
        <v>89</v>
      </c>
      <c r="L19" s="24" t="s">
        <v>75</v>
      </c>
      <c r="M19">
        <v>250</v>
      </c>
      <c r="N19">
        <v>40</v>
      </c>
      <c r="O19" s="4" t="s">
        <v>66</v>
      </c>
      <c r="P19" s="4" t="s">
        <v>67</v>
      </c>
    </row>
    <row r="20" spans="1:16" x14ac:dyDescent="0.55000000000000004">
      <c r="A20" s="8">
        <f t="shared" si="0"/>
        <v>32561.620999999999</v>
      </c>
      <c r="B20" s="5">
        <f t="shared" si="1"/>
        <v>3.2562000000000002</v>
      </c>
      <c r="C20" s="7">
        <f t="shared" si="2"/>
        <v>2.1899999999999999E-2</v>
      </c>
      <c r="D20">
        <f t="shared" si="3"/>
        <v>148.68493150684932</v>
      </c>
      <c r="E20" t="str">
        <f t="shared" si="4"/>
        <v>nonuniform</v>
      </c>
      <c r="F20" t="s">
        <v>60</v>
      </c>
      <c r="G20">
        <f>_xlfn.XLOOKUP(E20,Sequences,Sequences!$C$2:$C$11)</f>
        <v>2.6530999999999998</v>
      </c>
      <c r="H20" t="str">
        <f t="shared" si="5"/>
        <v>No</v>
      </c>
      <c r="I20" s="10">
        <f>_xlfn.XLOOKUP(E20,Sequences!$A$2:$A$11,Sequences!$B$2:$B$11)</f>
        <v>0.34549999999999997</v>
      </c>
      <c r="J20" t="str">
        <f t="shared" si="6"/>
        <v>No</v>
      </c>
      <c r="K20" s="9" t="s">
        <v>90</v>
      </c>
      <c r="L20" s="24" t="s">
        <v>75</v>
      </c>
      <c r="M20">
        <v>250</v>
      </c>
      <c r="N20">
        <v>40</v>
      </c>
      <c r="O20" s="4" t="s">
        <v>66</v>
      </c>
      <c r="P20" s="4" t="s">
        <v>67</v>
      </c>
    </row>
    <row r="21" spans="1:16" x14ac:dyDescent="0.55000000000000004">
      <c r="A21" s="8">
        <f t="shared" si="0"/>
        <v>1010.985</v>
      </c>
      <c r="B21" s="5">
        <f t="shared" si="1"/>
        <v>1.1233</v>
      </c>
      <c r="C21" s="7">
        <f t="shared" si="2"/>
        <v>0.73777999999999999</v>
      </c>
      <c r="D21">
        <f t="shared" si="3"/>
        <v>1.5225405947572446</v>
      </c>
      <c r="E21" t="str">
        <f t="shared" si="4"/>
        <v>heart1</v>
      </c>
      <c r="F21" t="s">
        <v>60</v>
      </c>
      <c r="G21">
        <f>_xlfn.XLOOKUP(E21,Sequences,Sequences!$C$2:$C$11)</f>
        <v>2.6314000000000002</v>
      </c>
      <c r="H21" t="str">
        <f t="shared" si="5"/>
        <v>Yes</v>
      </c>
      <c r="I21" s="10">
        <f>_xlfn.XLOOKUP(E21,Sequences!$A$2:$A$11,Sequences!$B$2:$B$11)</f>
        <v>0.26219999999999999</v>
      </c>
      <c r="J21" t="str">
        <f t="shared" si="6"/>
        <v>Yes</v>
      </c>
      <c r="K21" s="9" t="s">
        <v>91</v>
      </c>
      <c r="L21" s="24" t="s">
        <v>71</v>
      </c>
      <c r="M21">
        <v>250</v>
      </c>
      <c r="N21">
        <v>40</v>
      </c>
      <c r="O21" s="4" t="s">
        <v>66</v>
      </c>
      <c r="P21" s="4" t="s">
        <v>67</v>
      </c>
    </row>
    <row r="22" spans="1:16" x14ac:dyDescent="0.55000000000000004">
      <c r="A22" s="8">
        <f t="shared" si="0"/>
        <v>38863.163999999997</v>
      </c>
      <c r="B22" s="5">
        <f t="shared" si="1"/>
        <v>3.8862999999999999</v>
      </c>
      <c r="C22" s="7">
        <f t="shared" si="2"/>
        <v>0.10390000000000001</v>
      </c>
      <c r="D22">
        <f t="shared" si="3"/>
        <v>37.40423484119345</v>
      </c>
      <c r="E22" t="str">
        <f t="shared" si="4"/>
        <v>selfadapt</v>
      </c>
      <c r="F22" t="s">
        <v>60</v>
      </c>
      <c r="G22">
        <f>_xlfn.XLOOKUP(E22,Sequences,Sequences!$C$2:$C$11)</f>
        <v>2.6471</v>
      </c>
      <c r="H22" t="str">
        <f t="shared" si="5"/>
        <v>No</v>
      </c>
      <c r="I22" s="10">
        <f>_xlfn.XLOOKUP(E22,Sequences!$A$2:$A$11,Sequences!$B$2:$B$11)</f>
        <v>0.36120000000000002</v>
      </c>
      <c r="J22" t="str">
        <f t="shared" si="6"/>
        <v>No</v>
      </c>
      <c r="K22" s="9" t="s">
        <v>92</v>
      </c>
      <c r="L22" s="24" t="s">
        <v>71</v>
      </c>
      <c r="M22">
        <v>250</v>
      </c>
      <c r="N22">
        <v>40</v>
      </c>
      <c r="O22" s="4" t="s">
        <v>66</v>
      </c>
      <c r="P22" s="4" t="s">
        <v>67</v>
      </c>
    </row>
    <row r="23" spans="1:16" x14ac:dyDescent="0.55000000000000004">
      <c r="A23" s="8">
        <f t="shared" si="0"/>
        <v>203615.40599999999</v>
      </c>
      <c r="B23" s="5">
        <f t="shared" si="1"/>
        <v>2.7143999999999999</v>
      </c>
      <c r="C23" s="7">
        <f t="shared" si="2"/>
        <v>0.31317</v>
      </c>
      <c r="D23">
        <f t="shared" si="3"/>
        <v>8.667496886674968</v>
      </c>
      <c r="E23" t="str">
        <f t="shared" si="4"/>
        <v>Dickens</v>
      </c>
      <c r="F23" t="s">
        <v>60</v>
      </c>
      <c r="G23">
        <f>_xlfn.XLOOKUP(E23,Sequences,Sequences!$C$2:$C$11)</f>
        <v>2.9093</v>
      </c>
      <c r="H23" t="str">
        <f t="shared" si="5"/>
        <v>Yes</v>
      </c>
      <c r="I23" s="10">
        <f>_xlfn.XLOOKUP(E23,Sequences!$A$2:$A$11,Sequences!$B$2:$B$11)</f>
        <v>0.2893</v>
      </c>
      <c r="J23" t="str">
        <f t="shared" si="6"/>
        <v>Yes</v>
      </c>
      <c r="K23" s="9" t="s">
        <v>93</v>
      </c>
      <c r="L23" s="24" t="s">
        <v>94</v>
      </c>
      <c r="M23">
        <v>20</v>
      </c>
      <c r="N23">
        <v>500</v>
      </c>
      <c r="O23" s="4" t="s">
        <v>66</v>
      </c>
      <c r="P23" s="4" t="s">
        <v>67</v>
      </c>
    </row>
    <row r="24" spans="1:16" x14ac:dyDescent="0.55000000000000004">
      <c r="I24" s="10"/>
    </row>
    <row r="25" spans="1:16" x14ac:dyDescent="0.55000000000000004">
      <c r="I25" s="10"/>
    </row>
    <row r="26" spans="1:16" x14ac:dyDescent="0.55000000000000004">
      <c r="I26" s="10"/>
    </row>
    <row r="27" spans="1:16" x14ac:dyDescent="0.55000000000000004">
      <c r="I27" s="10"/>
    </row>
    <row r="28" spans="1:16" x14ac:dyDescent="0.55000000000000004">
      <c r="I28" s="10"/>
    </row>
    <row r="29" spans="1:16" x14ac:dyDescent="0.55000000000000004">
      <c r="I29" s="10"/>
    </row>
    <row r="30" spans="1:16" x14ac:dyDescent="0.55000000000000004">
      <c r="I30" s="10"/>
    </row>
    <row r="31" spans="1:16" x14ac:dyDescent="0.55000000000000004">
      <c r="I31" s="10"/>
    </row>
  </sheetData>
  <autoFilter ref="A2:P2" xr:uid="{A351335E-D16B-459C-8A3C-9DA7A42FF5CF}">
    <sortState xmlns:xlrd2="http://schemas.microsoft.com/office/spreadsheetml/2017/richdata2" ref="A3:P20">
      <sortCondition ref="D2"/>
    </sortState>
  </autoFilter>
  <phoneticPr fontId="19" type="noConversion"/>
  <conditionalFormatting sqref="J24:K31 K21:K23">
    <cfRule type="cellIs" dxfId="30" priority="3" operator="equal">
      <formula>"No"</formula>
    </cfRule>
  </conditionalFormatting>
  <conditionalFormatting sqref="J3:K20 J21:J23">
    <cfRule type="cellIs" dxfId="29" priority="2" operator="equal">
      <formula>"No"</formula>
    </cfRule>
  </conditionalFormatting>
  <conditionalFormatting sqref="H3:H40">
    <cfRule type="cellIs" dxfId="28" priority="1" operator="equal">
      <formula>"No"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14E9-0A0E-4DE6-A098-00DFFAB3D9C6}">
  <dimension ref="A1:N31"/>
  <sheetViews>
    <sheetView workbookViewId="0">
      <selection activeCell="B1" sqref="B1"/>
    </sheetView>
  </sheetViews>
  <sheetFormatPr defaultColWidth="8.83984375" defaultRowHeight="14.4" x14ac:dyDescent="0.55000000000000004"/>
  <cols>
    <col min="1" max="1" width="13.15625" bestFit="1" customWidth="1"/>
    <col min="2" max="2" width="8.83984375" bestFit="1" customWidth="1"/>
    <col min="3" max="3" width="10.26171875" style="11" bestFit="1" customWidth="1"/>
    <col min="4" max="5" width="12.83984375" customWidth="1"/>
    <col min="6" max="6" width="19" bestFit="1" customWidth="1"/>
    <col min="8" max="8" width="8.05078125" bestFit="1" customWidth="1"/>
    <col min="11" max="11" width="8.83984375" style="6"/>
    <col min="12" max="12" width="7.83984375" style="24" customWidth="1"/>
    <col min="13" max="13" width="13.26171875" bestFit="1" customWidth="1"/>
    <col min="14" max="14" width="12.15625" customWidth="1"/>
  </cols>
  <sheetData>
    <row r="1" spans="1:14" x14ac:dyDescent="0.55000000000000004">
      <c r="A1" t="s">
        <v>95</v>
      </c>
      <c r="K1"/>
      <c r="L1"/>
    </row>
    <row r="2" spans="1:14" s="3" customFormat="1" ht="57.6" x14ac:dyDescent="0.55000000000000004">
      <c r="A2" s="20" t="s">
        <v>14</v>
      </c>
      <c r="B2" s="21" t="s">
        <v>15</v>
      </c>
      <c r="C2" s="22" t="s">
        <v>16</v>
      </c>
      <c r="D2" s="20" t="s">
        <v>17</v>
      </c>
      <c r="E2" s="20" t="s">
        <v>18</v>
      </c>
      <c r="F2" s="20" t="s">
        <v>19</v>
      </c>
      <c r="G2" s="3" t="s">
        <v>169</v>
      </c>
      <c r="H2" s="3" t="s">
        <v>170</v>
      </c>
      <c r="I2" s="20" t="s">
        <v>1</v>
      </c>
      <c r="J2" s="20" t="s">
        <v>20</v>
      </c>
      <c r="K2" s="20" t="s">
        <v>21</v>
      </c>
      <c r="L2" s="20" t="s">
        <v>96</v>
      </c>
      <c r="M2" s="20" t="s">
        <v>97</v>
      </c>
      <c r="N2" s="20" t="s">
        <v>98</v>
      </c>
    </row>
    <row r="3" spans="1:14" x14ac:dyDescent="0.55000000000000004">
      <c r="A3" s="8">
        <f t="shared" ref="A3:A23" si="0">_xlfn.NUMBERVALUE(_xlfn.TEXTBEFORE(_xlfn.TEXTAFTER(K3,"penalty: "), " bits"))</f>
        <v>951.06399999999996</v>
      </c>
      <c r="B3" s="5">
        <f t="shared" ref="B3:B23" si="1">_xlfn.NUMBERVALUE(_xlfn.TEXTBEFORE(_xlfn.TEXTAFTER(K3,"bits (")," bits"))</f>
        <v>0.999</v>
      </c>
      <c r="C3" s="7">
        <f t="shared" ref="C3:C23" si="2">_xlfn.NUMBERVALUE(_xlfn.TEXTBEFORE(_xlfn.TEXTAFTER(K3,"predicted "),"% of")/100)</f>
        <v>0.79096999999999995</v>
      </c>
      <c r="D3">
        <f t="shared" ref="D3:D23" si="3">B3/C3</f>
        <v>1.263006182282514</v>
      </c>
      <c r="E3" t="str">
        <f t="shared" ref="E3:E23" si="4">_xlfn.TEXTBEFORE(_xlfn.TEXTAFTER(K3,"in sequence_"),"_")</f>
        <v>solarWind</v>
      </c>
      <c r="F3" t="s">
        <v>95</v>
      </c>
      <c r="G3">
        <f>_xlfn.XLOOKUP(E3,Sequences,Sequences!$C$2:$C$11)</f>
        <v>1.9595</v>
      </c>
      <c r="H3" t="str">
        <f t="shared" ref="H3:H23" si="5">IF(B3&lt;G3,"Yes","No")</f>
        <v>Yes</v>
      </c>
      <c r="I3" s="10">
        <f>_xlfn.XLOOKUP(E3,Sequences!$A$2:$A$11,Sequences!$B$2:$B$11)</f>
        <v>0.4758</v>
      </c>
      <c r="J3" t="str">
        <f t="shared" ref="J3:J23" si="6">IF(C3&gt;I3, "Yes", "No")</f>
        <v>Yes</v>
      </c>
      <c r="K3" s="6" t="s">
        <v>99</v>
      </c>
      <c r="L3" s="24" t="s">
        <v>100</v>
      </c>
      <c r="M3" t="s">
        <v>101</v>
      </c>
      <c r="N3" t="b">
        <v>1</v>
      </c>
    </row>
    <row r="4" spans="1:14" x14ac:dyDescent="0.55000000000000004">
      <c r="A4" s="8">
        <f t="shared" si="0"/>
        <v>1097.5930000000001</v>
      </c>
      <c r="B4" s="5">
        <f t="shared" si="1"/>
        <v>1.2195</v>
      </c>
      <c r="C4" s="7">
        <f t="shared" si="2"/>
        <v>0.72</v>
      </c>
      <c r="D4">
        <f t="shared" si="3"/>
        <v>1.6937500000000001</v>
      </c>
      <c r="E4" t="str">
        <f t="shared" si="4"/>
        <v>heart2</v>
      </c>
      <c r="F4" t="s">
        <v>95</v>
      </c>
      <c r="G4">
        <f>_xlfn.XLOOKUP(E4,Sequences,Sequences!$C$2:$C$11)</f>
        <v>2.4636</v>
      </c>
      <c r="H4" t="str">
        <f t="shared" si="5"/>
        <v>Yes</v>
      </c>
      <c r="I4" s="10">
        <f>_xlfn.XLOOKUP(E4,Sequences!$A$2:$A$11,Sequences!$B$2:$B$11)</f>
        <v>0.27889999999999998</v>
      </c>
      <c r="J4" t="str">
        <f t="shared" si="6"/>
        <v>Yes</v>
      </c>
      <c r="K4" s="6" t="s">
        <v>102</v>
      </c>
      <c r="L4" s="24" t="s">
        <v>100</v>
      </c>
      <c r="M4" t="s">
        <v>103</v>
      </c>
      <c r="N4" t="s">
        <v>104</v>
      </c>
    </row>
    <row r="5" spans="1:14" x14ac:dyDescent="0.55000000000000004">
      <c r="A5" s="8">
        <f t="shared" si="0"/>
        <v>1188.9880000000001</v>
      </c>
      <c r="B5" s="5">
        <f t="shared" si="1"/>
        <v>1.3210999999999999</v>
      </c>
      <c r="C5" s="7">
        <f t="shared" si="2"/>
        <v>0.72889000000000004</v>
      </c>
      <c r="D5">
        <f t="shared" si="3"/>
        <v>1.8124819931676932</v>
      </c>
      <c r="E5" t="str">
        <f t="shared" si="4"/>
        <v>heart2</v>
      </c>
      <c r="F5" t="s">
        <v>95</v>
      </c>
      <c r="G5">
        <f>_xlfn.XLOOKUP(E5,Sequences,Sequences!$C$2:$C$11)</f>
        <v>2.4636</v>
      </c>
      <c r="H5" t="str">
        <f t="shared" si="5"/>
        <v>Yes</v>
      </c>
      <c r="I5" s="10">
        <f>_xlfn.XLOOKUP(E5,Sequences!$A$2:$A$11,Sequences!$B$2:$B$11)</f>
        <v>0.27889999999999998</v>
      </c>
      <c r="J5" t="str">
        <f t="shared" si="6"/>
        <v>Yes</v>
      </c>
      <c r="K5" s="6" t="s">
        <v>105</v>
      </c>
      <c r="L5" s="24" t="s">
        <v>100</v>
      </c>
      <c r="M5" t="s">
        <v>106</v>
      </c>
      <c r="N5" t="b">
        <v>1</v>
      </c>
    </row>
    <row r="6" spans="1:14" x14ac:dyDescent="0.55000000000000004">
      <c r="A6" s="8">
        <f t="shared" si="0"/>
        <v>1353.373</v>
      </c>
      <c r="B6" s="5">
        <f t="shared" si="1"/>
        <v>1.5037</v>
      </c>
      <c r="C6" s="7">
        <f t="shared" si="2"/>
        <v>0.72889000000000004</v>
      </c>
      <c r="D6">
        <f t="shared" si="3"/>
        <v>2.0629999039635609</v>
      </c>
      <c r="E6" t="str">
        <f t="shared" si="4"/>
        <v>heart2</v>
      </c>
      <c r="F6" t="s">
        <v>95</v>
      </c>
      <c r="G6">
        <f>_xlfn.XLOOKUP(E6,Sequences,Sequences!$C$2:$C$11)</f>
        <v>2.4636</v>
      </c>
      <c r="H6" t="str">
        <f t="shared" si="5"/>
        <v>Yes</v>
      </c>
      <c r="I6" s="10">
        <f>_xlfn.XLOOKUP(E6,Sequences!$A$2:$A$11,Sequences!$B$2:$B$11)</f>
        <v>0.27889999999999998</v>
      </c>
      <c r="J6" t="str">
        <f t="shared" si="6"/>
        <v>Yes</v>
      </c>
      <c r="K6" s="6" t="s">
        <v>107</v>
      </c>
      <c r="L6" s="24" t="s">
        <v>100</v>
      </c>
      <c r="M6" t="s">
        <v>101</v>
      </c>
      <c r="N6" t="s">
        <v>108</v>
      </c>
    </row>
    <row r="7" spans="1:14" x14ac:dyDescent="0.55000000000000004">
      <c r="A7" s="8">
        <f t="shared" si="0"/>
        <v>1419.8810000000001</v>
      </c>
      <c r="B7" s="5">
        <f t="shared" si="1"/>
        <v>1.5775999999999999</v>
      </c>
      <c r="C7" s="7">
        <f t="shared" si="2"/>
        <v>0.73</v>
      </c>
      <c r="D7">
        <f t="shared" si="3"/>
        <v>2.1610958904109587</v>
      </c>
      <c r="E7" t="str">
        <f t="shared" si="4"/>
        <v>heart2</v>
      </c>
      <c r="F7" t="s">
        <v>95</v>
      </c>
      <c r="G7">
        <f>_xlfn.XLOOKUP(E7,Sequences,Sequences!$C$2:$C$11)</f>
        <v>2.4636</v>
      </c>
      <c r="H7" t="str">
        <f t="shared" si="5"/>
        <v>Yes</v>
      </c>
      <c r="I7" s="10">
        <f>_xlfn.XLOOKUP(E7,Sequences!$A$2:$A$11,Sequences!$B$2:$B$11)</f>
        <v>0.27889999999999998</v>
      </c>
      <c r="J7" t="str">
        <f t="shared" si="6"/>
        <v>Yes</v>
      </c>
      <c r="K7" s="6" t="s">
        <v>109</v>
      </c>
      <c r="L7" s="24" t="s">
        <v>100</v>
      </c>
      <c r="M7" t="s">
        <v>101</v>
      </c>
      <c r="N7" t="b">
        <v>1</v>
      </c>
    </row>
    <row r="8" spans="1:14" x14ac:dyDescent="0.55000000000000004">
      <c r="A8" s="8">
        <f t="shared" si="0"/>
        <v>1541.8119999999999</v>
      </c>
      <c r="B8" s="5">
        <f t="shared" si="1"/>
        <v>1.7131000000000001</v>
      </c>
      <c r="C8" s="7">
        <f t="shared" si="2"/>
        <v>0.72777999999999998</v>
      </c>
      <c r="D8">
        <f t="shared" si="3"/>
        <v>2.3538706752040452</v>
      </c>
      <c r="E8" t="str">
        <f t="shared" si="4"/>
        <v>heart2</v>
      </c>
      <c r="F8" t="s">
        <v>95</v>
      </c>
      <c r="G8">
        <f>_xlfn.XLOOKUP(E8,Sequences,Sequences!$C$2:$C$11)</f>
        <v>2.4636</v>
      </c>
      <c r="H8" t="str">
        <f t="shared" si="5"/>
        <v>Yes</v>
      </c>
      <c r="I8" s="10">
        <f>_xlfn.XLOOKUP(E8,Sequences!$A$2:$A$11,Sequences!$B$2:$B$11)</f>
        <v>0.27889999999999998</v>
      </c>
      <c r="J8" t="str">
        <f t="shared" si="6"/>
        <v>Yes</v>
      </c>
      <c r="K8" s="6" t="s">
        <v>110</v>
      </c>
      <c r="L8" s="24" t="s">
        <v>100</v>
      </c>
      <c r="M8" t="s">
        <v>103</v>
      </c>
      <c r="N8" t="b">
        <v>1</v>
      </c>
    </row>
    <row r="9" spans="1:14" x14ac:dyDescent="0.55000000000000004">
      <c r="A9" s="8">
        <f t="shared" si="0"/>
        <v>1682.8320000000001</v>
      </c>
      <c r="B9" s="5">
        <f t="shared" si="1"/>
        <v>1.8697999999999999</v>
      </c>
      <c r="C9" s="7">
        <f t="shared" si="2"/>
        <v>0.73</v>
      </c>
      <c r="D9">
        <f t="shared" si="3"/>
        <v>2.5613698630136987</v>
      </c>
      <c r="E9" t="str">
        <f t="shared" si="4"/>
        <v>heart2</v>
      </c>
      <c r="F9" t="s">
        <v>95</v>
      </c>
      <c r="G9">
        <f>_xlfn.XLOOKUP(E9,Sequences,Sequences!$C$2:$C$11)</f>
        <v>2.4636</v>
      </c>
      <c r="H9" t="str">
        <f t="shared" si="5"/>
        <v>Yes</v>
      </c>
      <c r="I9" s="10">
        <f>_xlfn.XLOOKUP(E9,Sequences!$A$2:$A$11,Sequences!$B$2:$B$11)</f>
        <v>0.27889999999999998</v>
      </c>
      <c r="J9" t="str">
        <f t="shared" si="6"/>
        <v>Yes</v>
      </c>
      <c r="K9" s="6" t="s">
        <v>111</v>
      </c>
      <c r="L9" s="24" t="s">
        <v>100</v>
      </c>
      <c r="M9" t="s">
        <v>101</v>
      </c>
      <c r="N9" t="s">
        <v>104</v>
      </c>
    </row>
    <row r="10" spans="1:14" x14ac:dyDescent="0.55000000000000004">
      <c r="A10" s="8">
        <f t="shared" si="0"/>
        <v>1668.934</v>
      </c>
      <c r="B10" s="5">
        <f t="shared" si="1"/>
        <v>1.8544</v>
      </c>
      <c r="C10" s="7">
        <f t="shared" si="2"/>
        <v>0.72221999999999997</v>
      </c>
      <c r="D10">
        <f t="shared" si="3"/>
        <v>2.5676386696574451</v>
      </c>
      <c r="E10" t="str">
        <f t="shared" si="4"/>
        <v>heart2</v>
      </c>
      <c r="F10" t="s">
        <v>95</v>
      </c>
      <c r="G10">
        <f>_xlfn.XLOOKUP(E10,Sequences,Sequences!$C$2:$C$11)</f>
        <v>2.4636</v>
      </c>
      <c r="H10" t="str">
        <f t="shared" si="5"/>
        <v>Yes</v>
      </c>
      <c r="I10" s="10">
        <f>_xlfn.XLOOKUP(E10,Sequences!$A$2:$A$11,Sequences!$B$2:$B$11)</f>
        <v>0.27889999999999998</v>
      </c>
      <c r="J10" t="str">
        <f t="shared" si="6"/>
        <v>Yes</v>
      </c>
      <c r="K10" s="6" t="s">
        <v>112</v>
      </c>
      <c r="L10" s="24" t="s">
        <v>100</v>
      </c>
      <c r="M10" t="s">
        <v>103</v>
      </c>
      <c r="N10" t="s">
        <v>108</v>
      </c>
    </row>
    <row r="11" spans="1:14" x14ac:dyDescent="0.55000000000000004">
      <c r="A11" s="8">
        <f t="shared" si="0"/>
        <v>1730.1410000000001</v>
      </c>
      <c r="B11" s="5">
        <f t="shared" si="1"/>
        <v>1.9224000000000001</v>
      </c>
      <c r="C11" s="7">
        <f t="shared" si="2"/>
        <v>0.69555999999999996</v>
      </c>
      <c r="D11">
        <f t="shared" si="3"/>
        <v>2.7638162056472484</v>
      </c>
      <c r="E11" t="str">
        <f t="shared" si="4"/>
        <v>heart2</v>
      </c>
      <c r="F11" t="s">
        <v>95</v>
      </c>
      <c r="G11">
        <f>_xlfn.XLOOKUP(E11,Sequences,Sequences!$C$2:$C$11)</f>
        <v>2.4636</v>
      </c>
      <c r="H11" t="str">
        <f t="shared" si="5"/>
        <v>Yes</v>
      </c>
      <c r="I11" s="10">
        <f>_xlfn.XLOOKUP(E11,Sequences!$A$2:$A$11,Sequences!$B$2:$B$11)</f>
        <v>0.27889999999999998</v>
      </c>
      <c r="J11" t="str">
        <f t="shared" si="6"/>
        <v>Yes</v>
      </c>
      <c r="K11" s="6" t="s">
        <v>113</v>
      </c>
      <c r="L11" s="24" t="s">
        <v>100</v>
      </c>
      <c r="M11" t="s">
        <v>101</v>
      </c>
      <c r="N11" t="b">
        <v>1</v>
      </c>
    </row>
    <row r="12" spans="1:14" x14ac:dyDescent="0.55000000000000004">
      <c r="A12" s="8">
        <f t="shared" si="0"/>
        <v>1532.616</v>
      </c>
      <c r="B12" s="5">
        <f t="shared" si="1"/>
        <v>1.7029000000000001</v>
      </c>
      <c r="C12" s="7">
        <f t="shared" si="2"/>
        <v>0.6</v>
      </c>
      <c r="D12">
        <f t="shared" si="3"/>
        <v>2.8381666666666669</v>
      </c>
      <c r="E12" t="str">
        <f t="shared" si="4"/>
        <v>heart1</v>
      </c>
      <c r="F12" t="s">
        <v>95</v>
      </c>
      <c r="G12">
        <f>_xlfn.XLOOKUP(E12,Sequences,Sequences!$C$2:$C$11)</f>
        <v>2.6314000000000002</v>
      </c>
      <c r="H12" t="str">
        <f t="shared" si="5"/>
        <v>Yes</v>
      </c>
      <c r="I12" s="10">
        <f>_xlfn.XLOOKUP(E12,Sequences!$A$2:$A$11,Sequences!$B$2:$B$11)</f>
        <v>0.26219999999999999</v>
      </c>
      <c r="J12" t="str">
        <f t="shared" si="6"/>
        <v>Yes</v>
      </c>
      <c r="K12" s="9" t="s">
        <v>114</v>
      </c>
      <c r="L12" s="24" t="s">
        <v>100</v>
      </c>
      <c r="M12" t="s">
        <v>101</v>
      </c>
      <c r="N12" t="b">
        <v>1</v>
      </c>
    </row>
    <row r="13" spans="1:14" x14ac:dyDescent="0.55000000000000004">
      <c r="A13" s="8">
        <f t="shared" si="0"/>
        <v>1667.097</v>
      </c>
      <c r="B13" s="5">
        <f t="shared" si="1"/>
        <v>1.8523000000000001</v>
      </c>
      <c r="C13" s="11">
        <f t="shared" si="2"/>
        <v>0.62444</v>
      </c>
      <c r="D13">
        <f t="shared" si="3"/>
        <v>2.9663378387034784</v>
      </c>
      <c r="E13" t="str">
        <f t="shared" si="4"/>
        <v>heart1</v>
      </c>
      <c r="F13" t="s">
        <v>95</v>
      </c>
      <c r="G13">
        <f>_xlfn.XLOOKUP(E13,Sequences,Sequences!$C$2:$C$11)</f>
        <v>2.6314000000000002</v>
      </c>
      <c r="H13" t="str">
        <f t="shared" si="5"/>
        <v>Yes</v>
      </c>
      <c r="I13" s="10">
        <f>_xlfn.XLOOKUP(E13,Sequences!$A$2:$A$11,Sequences!$B$2:$B$11)</f>
        <v>0.26219999999999999</v>
      </c>
      <c r="J13" t="str">
        <f t="shared" si="6"/>
        <v>Yes</v>
      </c>
      <c r="K13" s="6" t="s">
        <v>115</v>
      </c>
      <c r="L13" s="24" t="s">
        <v>100</v>
      </c>
      <c r="M13" t="s">
        <v>116</v>
      </c>
      <c r="N13" t="b">
        <v>1</v>
      </c>
    </row>
    <row r="14" spans="1:14" x14ac:dyDescent="0.55000000000000004">
      <c r="A14" s="8">
        <f t="shared" si="0"/>
        <v>1706.893</v>
      </c>
      <c r="B14" s="5">
        <f t="shared" si="1"/>
        <v>1.8965000000000001</v>
      </c>
      <c r="C14" s="7">
        <f t="shared" si="2"/>
        <v>0.59667000000000003</v>
      </c>
      <c r="D14">
        <f t="shared" si="3"/>
        <v>3.1784738632745069</v>
      </c>
      <c r="E14" t="str">
        <f t="shared" si="4"/>
        <v>heart1</v>
      </c>
      <c r="F14" t="s">
        <v>95</v>
      </c>
      <c r="G14">
        <f>_xlfn.XLOOKUP(E14,Sequences,Sequences!$C$2:$C$11)</f>
        <v>2.6314000000000002</v>
      </c>
      <c r="H14" t="str">
        <f t="shared" si="5"/>
        <v>Yes</v>
      </c>
      <c r="I14" s="10">
        <f>_xlfn.XLOOKUP(E14,Sequences!$A$2:$A$11,Sequences!$B$2:$B$11)</f>
        <v>0.26219999999999999</v>
      </c>
      <c r="J14" t="str">
        <f t="shared" si="6"/>
        <v>Yes</v>
      </c>
      <c r="K14" s="9" t="s">
        <v>117</v>
      </c>
      <c r="L14" s="24" t="s">
        <v>100</v>
      </c>
      <c r="M14" t="s">
        <v>101</v>
      </c>
      <c r="N14" t="b">
        <v>1</v>
      </c>
    </row>
    <row r="15" spans="1:14" x14ac:dyDescent="0.55000000000000004">
      <c r="A15" s="8">
        <f t="shared" si="0"/>
        <v>1726.5519999999999</v>
      </c>
      <c r="B15" s="5">
        <f t="shared" si="1"/>
        <v>1.9184000000000001</v>
      </c>
      <c r="C15" s="7">
        <f t="shared" si="2"/>
        <v>0.60111000000000003</v>
      </c>
      <c r="D15">
        <f t="shared" si="3"/>
        <v>3.1914291893330673</v>
      </c>
      <c r="E15" t="str">
        <f t="shared" si="4"/>
        <v>heart1</v>
      </c>
      <c r="F15" t="s">
        <v>95</v>
      </c>
      <c r="G15">
        <f>_xlfn.XLOOKUP(E15,Sequences,Sequences!$C$2:$C$11)</f>
        <v>2.6314000000000002</v>
      </c>
      <c r="H15" t="str">
        <f t="shared" si="5"/>
        <v>Yes</v>
      </c>
      <c r="I15" s="10">
        <f>_xlfn.XLOOKUP(E15,Sequences!$A$2:$A$11,Sequences!$B$2:$B$11)</f>
        <v>0.26219999999999999</v>
      </c>
      <c r="J15" t="str">
        <f t="shared" si="6"/>
        <v>Yes</v>
      </c>
      <c r="K15" s="9" t="s">
        <v>118</v>
      </c>
      <c r="L15" s="24" t="s">
        <v>100</v>
      </c>
      <c r="M15" t="s">
        <v>101</v>
      </c>
      <c r="N15" t="b">
        <v>1</v>
      </c>
    </row>
    <row r="16" spans="1:14" x14ac:dyDescent="0.55000000000000004">
      <c r="A16" s="8">
        <f t="shared" si="0"/>
        <v>6451.2250000000004</v>
      </c>
      <c r="B16" s="5">
        <f t="shared" si="1"/>
        <v>1.9625999999999999</v>
      </c>
      <c r="C16" s="7">
        <f t="shared" si="2"/>
        <v>0.45634000000000002</v>
      </c>
      <c r="D16">
        <f t="shared" si="3"/>
        <v>4.3007406758118938</v>
      </c>
      <c r="E16" t="str">
        <f t="shared" si="4"/>
        <v>DIAwind</v>
      </c>
      <c r="F16" t="s">
        <v>95</v>
      </c>
      <c r="G16">
        <f>_xlfn.XLOOKUP(E16,Sequences,Sequences!$C$2:$C$11)</f>
        <v>1.9139999999999999</v>
      </c>
      <c r="H16" t="str">
        <f t="shared" si="5"/>
        <v>No</v>
      </c>
      <c r="I16" s="10">
        <f>_xlfn.XLOOKUP(E16,Sequences!$A$2:$A$11,Sequences!$B$2:$B$11)</f>
        <v>0.4667</v>
      </c>
      <c r="J16" t="str">
        <f t="shared" si="6"/>
        <v>No</v>
      </c>
      <c r="K16" s="9" t="s">
        <v>119</v>
      </c>
      <c r="L16" s="24" t="s">
        <v>100</v>
      </c>
      <c r="M16" t="s">
        <v>101</v>
      </c>
      <c r="N16" t="b">
        <v>1</v>
      </c>
    </row>
    <row r="17" spans="1:14" x14ac:dyDescent="0.55000000000000004">
      <c r="A17" s="8">
        <f t="shared" si="0"/>
        <v>6758.4920000000002</v>
      </c>
      <c r="B17" s="5">
        <f t="shared" si="1"/>
        <v>2.0560999999999998</v>
      </c>
      <c r="C17" s="7">
        <f t="shared" si="2"/>
        <v>0.43353000000000003</v>
      </c>
      <c r="D17">
        <f t="shared" si="3"/>
        <v>4.7426937005512873</v>
      </c>
      <c r="E17" t="str">
        <f t="shared" si="4"/>
        <v>DIAtemp</v>
      </c>
      <c r="F17" t="s">
        <v>95</v>
      </c>
      <c r="G17">
        <f>_xlfn.XLOOKUP(E17,Sequences,Sequences!$C$2:$C$11)</f>
        <v>2.5186999999999999</v>
      </c>
      <c r="H17" t="str">
        <f t="shared" si="5"/>
        <v>Yes</v>
      </c>
      <c r="I17" s="10">
        <f>_xlfn.XLOOKUP(E17,Sequences!$A$2:$A$11,Sequences!$B$2:$B$11)</f>
        <v>0.22</v>
      </c>
      <c r="J17" t="str">
        <f t="shared" si="6"/>
        <v>Yes</v>
      </c>
      <c r="K17" s="9" t="s">
        <v>120</v>
      </c>
      <c r="L17" s="24" t="s">
        <v>100</v>
      </c>
      <c r="M17" t="s">
        <v>101</v>
      </c>
      <c r="N17" t="b">
        <v>1</v>
      </c>
    </row>
    <row r="18" spans="1:14" x14ac:dyDescent="0.55000000000000004">
      <c r="A18" s="8">
        <f t="shared" si="0"/>
        <v>17432.940999999999</v>
      </c>
      <c r="B18" s="5">
        <f t="shared" si="1"/>
        <v>3.0832999999999999</v>
      </c>
      <c r="C18" s="7">
        <f t="shared" si="2"/>
        <v>0.41050999999999999</v>
      </c>
      <c r="D18">
        <f t="shared" si="3"/>
        <v>7.5109010742734652</v>
      </c>
      <c r="E18" t="str">
        <f t="shared" si="4"/>
        <v>Hawaiian</v>
      </c>
      <c r="F18" t="s">
        <v>95</v>
      </c>
      <c r="G18">
        <f>_xlfn.XLOOKUP(E18,Sequences,Sequences!$C$2:$C$11)</f>
        <v>2.0611000000000002</v>
      </c>
      <c r="H18" t="str">
        <f t="shared" si="5"/>
        <v>No</v>
      </c>
      <c r="I18" s="10">
        <f>_xlfn.XLOOKUP(E18,Sequences!$A$2:$A$11,Sequences!$B$2:$B$11)</f>
        <v>0.42470000000000002</v>
      </c>
      <c r="J18" t="str">
        <f t="shared" si="6"/>
        <v>No</v>
      </c>
      <c r="K18" s="9" t="s">
        <v>121</v>
      </c>
      <c r="L18" s="24" t="s">
        <v>100</v>
      </c>
      <c r="M18" t="s">
        <v>101</v>
      </c>
      <c r="N18" t="b">
        <v>1</v>
      </c>
    </row>
    <row r="19" spans="1:14" x14ac:dyDescent="0.55000000000000004">
      <c r="A19" s="8">
        <f t="shared" si="0"/>
        <v>32117.952000000001</v>
      </c>
      <c r="B19" s="5">
        <f t="shared" si="1"/>
        <v>3.2118000000000002</v>
      </c>
      <c r="C19" s="7">
        <f t="shared" si="2"/>
        <v>0.1116</v>
      </c>
      <c r="D19">
        <f t="shared" si="3"/>
        <v>28.77956989247312</v>
      </c>
      <c r="E19" t="str">
        <f t="shared" si="4"/>
        <v>uniform</v>
      </c>
      <c r="F19" t="s">
        <v>95</v>
      </c>
      <c r="G19">
        <f>_xlfn.XLOOKUP(E19,Sequences,Sequences!$C$2:$C$11)</f>
        <v>3.1688000000000001</v>
      </c>
      <c r="H19" t="str">
        <f t="shared" si="5"/>
        <v>No</v>
      </c>
      <c r="I19" s="10">
        <f>_xlfn.XLOOKUP(E19,Sequences!$A$2:$A$11,Sequences!$B$2:$B$11)</f>
        <v>0.1217</v>
      </c>
      <c r="J19" t="str">
        <f t="shared" si="6"/>
        <v>No</v>
      </c>
      <c r="K19" s="9" t="s">
        <v>122</v>
      </c>
      <c r="L19" s="24" t="s">
        <v>100</v>
      </c>
      <c r="M19" t="s">
        <v>101</v>
      </c>
      <c r="N19" t="s">
        <v>108</v>
      </c>
    </row>
    <row r="20" spans="1:14" x14ac:dyDescent="0.55000000000000004">
      <c r="A20" s="8">
        <f t="shared" si="0"/>
        <v>33163.557000000001</v>
      </c>
      <c r="B20" s="5">
        <f t="shared" si="1"/>
        <v>3.3163999999999998</v>
      </c>
      <c r="C20" s="7">
        <f t="shared" si="2"/>
        <v>0.10730000000000001</v>
      </c>
      <c r="D20">
        <f t="shared" si="3"/>
        <v>30.907735321528421</v>
      </c>
      <c r="E20" t="str">
        <f t="shared" si="4"/>
        <v>selfadapt</v>
      </c>
      <c r="F20" t="s">
        <v>95</v>
      </c>
      <c r="G20">
        <f>_xlfn.XLOOKUP(E20,Sequences,Sequences!$C$2:$C$11)</f>
        <v>2.6471</v>
      </c>
      <c r="H20" t="str">
        <f t="shared" si="5"/>
        <v>No</v>
      </c>
      <c r="I20" s="10">
        <f>_xlfn.XLOOKUP(E20,Sequences!$A$2:$A$11,Sequences!$B$2:$B$11)</f>
        <v>0.36120000000000002</v>
      </c>
      <c r="J20" t="str">
        <f t="shared" si="6"/>
        <v>No</v>
      </c>
      <c r="K20" s="9" t="s">
        <v>123</v>
      </c>
      <c r="L20" s="24" t="s">
        <v>100</v>
      </c>
      <c r="M20" t="s">
        <v>101</v>
      </c>
      <c r="N20" t="s">
        <v>104</v>
      </c>
    </row>
    <row r="21" spans="1:14" x14ac:dyDescent="0.55000000000000004">
      <c r="A21" s="8">
        <f t="shared" si="0"/>
        <v>57520.485000000001</v>
      </c>
      <c r="B21" s="5">
        <f t="shared" si="1"/>
        <v>5.7519999999999998</v>
      </c>
      <c r="C21" s="7">
        <f t="shared" si="2"/>
        <v>0.1394</v>
      </c>
      <c r="D21">
        <f t="shared" si="3"/>
        <v>41.262553802008611</v>
      </c>
      <c r="E21" t="str">
        <f t="shared" si="4"/>
        <v>selfadapt</v>
      </c>
      <c r="F21" t="s">
        <v>95</v>
      </c>
      <c r="G21">
        <f>_xlfn.XLOOKUP(E21,Sequences,Sequences!$C$2:$C$11)</f>
        <v>2.6471</v>
      </c>
      <c r="H21" t="str">
        <f t="shared" si="5"/>
        <v>No</v>
      </c>
      <c r="I21" s="10">
        <f>_xlfn.XLOOKUP(E21,Sequences!$A$2:$A$11,Sequences!$B$2:$B$11)</f>
        <v>0.36120000000000002</v>
      </c>
      <c r="J21" t="str">
        <f t="shared" si="6"/>
        <v>No</v>
      </c>
      <c r="K21" s="9" t="s">
        <v>124</v>
      </c>
      <c r="L21" s="24" t="s">
        <v>100</v>
      </c>
      <c r="M21" t="s">
        <v>101</v>
      </c>
      <c r="N21" t="s">
        <v>104</v>
      </c>
    </row>
    <row r="22" spans="1:14" x14ac:dyDescent="0.55000000000000004">
      <c r="A22" s="8">
        <f t="shared" si="0"/>
        <v>39027.222000000002</v>
      </c>
      <c r="B22" s="5">
        <f t="shared" si="1"/>
        <v>3.9026999999999998</v>
      </c>
      <c r="C22" s="7">
        <f t="shared" si="2"/>
        <v>8.7999999999999995E-2</v>
      </c>
      <c r="D22">
        <f t="shared" si="3"/>
        <v>44.348863636363639</v>
      </c>
      <c r="E22" t="str">
        <f t="shared" si="4"/>
        <v>selfadapt</v>
      </c>
      <c r="F22" t="s">
        <v>95</v>
      </c>
      <c r="G22">
        <f>_xlfn.XLOOKUP(E22,Sequences,Sequences!$C$2:$C$11)</f>
        <v>2.6471</v>
      </c>
      <c r="H22" t="str">
        <f t="shared" si="5"/>
        <v>No</v>
      </c>
      <c r="I22" s="10">
        <f>_xlfn.XLOOKUP(E22,Sequences!$A$2:$A$11,Sequences!$B$2:$B$11)</f>
        <v>0.36120000000000002</v>
      </c>
      <c r="J22" t="str">
        <f t="shared" si="6"/>
        <v>No</v>
      </c>
      <c r="K22" s="9" t="s">
        <v>125</v>
      </c>
      <c r="L22" s="24" t="s">
        <v>100</v>
      </c>
      <c r="M22" t="s">
        <v>101</v>
      </c>
      <c r="N22" t="s">
        <v>126</v>
      </c>
    </row>
    <row r="23" spans="1:14" x14ac:dyDescent="0.55000000000000004">
      <c r="A23" s="8">
        <f t="shared" si="0"/>
        <v>32641.157999999999</v>
      </c>
      <c r="B23" s="5">
        <f t="shared" si="1"/>
        <v>3.2641</v>
      </c>
      <c r="C23" s="7">
        <f t="shared" si="2"/>
        <v>3.0300000000000001E-2</v>
      </c>
      <c r="D23">
        <f t="shared" si="3"/>
        <v>107.72607260726072</v>
      </c>
      <c r="E23" t="str">
        <f t="shared" si="4"/>
        <v>nonuniform</v>
      </c>
      <c r="F23" t="s">
        <v>95</v>
      </c>
      <c r="G23">
        <f>_xlfn.XLOOKUP(E23,Sequences,Sequences!$C$2:$C$11)</f>
        <v>2.6530999999999998</v>
      </c>
      <c r="H23" t="str">
        <f t="shared" si="5"/>
        <v>No</v>
      </c>
      <c r="I23" s="10">
        <f>_xlfn.XLOOKUP(E23,Sequences!$A$2:$A$11,Sequences!$B$2:$B$11)</f>
        <v>0.34549999999999997</v>
      </c>
      <c r="J23" t="str">
        <f t="shared" si="6"/>
        <v>No</v>
      </c>
      <c r="K23" s="9" t="s">
        <v>127</v>
      </c>
      <c r="L23" s="24" t="s">
        <v>100</v>
      </c>
      <c r="M23" t="s">
        <v>101</v>
      </c>
      <c r="N23" t="b">
        <v>1</v>
      </c>
    </row>
    <row r="24" spans="1:14" x14ac:dyDescent="0.55000000000000004">
      <c r="I24" s="10"/>
    </row>
    <row r="25" spans="1:14" x14ac:dyDescent="0.55000000000000004">
      <c r="I25" s="10"/>
    </row>
    <row r="26" spans="1:14" x14ac:dyDescent="0.55000000000000004">
      <c r="I26" s="10"/>
    </row>
    <row r="27" spans="1:14" x14ac:dyDescent="0.55000000000000004">
      <c r="I27" s="10"/>
    </row>
    <row r="28" spans="1:14" x14ac:dyDescent="0.55000000000000004">
      <c r="I28" s="10"/>
    </row>
    <row r="29" spans="1:14" x14ac:dyDescent="0.55000000000000004">
      <c r="I29" s="10"/>
    </row>
    <row r="30" spans="1:14" x14ac:dyDescent="0.55000000000000004">
      <c r="I30" s="10"/>
    </row>
    <row r="31" spans="1:14" x14ac:dyDescent="0.55000000000000004">
      <c r="I31" s="10"/>
    </row>
  </sheetData>
  <autoFilter ref="A2:K23" xr:uid="{A351335E-D16B-459C-8A3C-9DA7A42FF5CF}">
    <sortState xmlns:xlrd2="http://schemas.microsoft.com/office/spreadsheetml/2017/richdata2" ref="A3:K24">
      <sortCondition ref="D2:D23"/>
    </sortState>
  </autoFilter>
  <phoneticPr fontId="19" type="noConversion"/>
  <conditionalFormatting sqref="J24:J31">
    <cfRule type="cellIs" dxfId="27" priority="3" operator="equal">
      <formula>"No"</formula>
    </cfRule>
  </conditionalFormatting>
  <conditionalFormatting sqref="J3:J23">
    <cfRule type="cellIs" dxfId="26" priority="2" operator="equal">
      <formula>"No"</formula>
    </cfRule>
  </conditionalFormatting>
  <conditionalFormatting sqref="H3:H40">
    <cfRule type="cellIs" dxfId="25" priority="1" operator="equal">
      <formula>"No"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182A-1D61-4B81-884F-470869407FBE}">
  <dimension ref="A1:N19"/>
  <sheetViews>
    <sheetView workbookViewId="0">
      <selection activeCell="C1" sqref="C1"/>
    </sheetView>
  </sheetViews>
  <sheetFormatPr defaultColWidth="8.83984375" defaultRowHeight="14.4" x14ac:dyDescent="0.55000000000000004"/>
  <cols>
    <col min="1" max="1" width="13.15625" bestFit="1" customWidth="1"/>
    <col min="2" max="2" width="8.83984375" bestFit="1" customWidth="1"/>
    <col min="3" max="3" width="10.26171875" bestFit="1" customWidth="1"/>
    <col min="4" max="5" width="12.83984375" customWidth="1"/>
    <col min="6" max="6" width="19" bestFit="1" customWidth="1"/>
    <col min="8" max="8" width="8.05078125" bestFit="1" customWidth="1"/>
    <col min="11" max="11" width="8.83984375" style="6"/>
    <col min="12" max="12" width="7.15625" bestFit="1" customWidth="1"/>
    <col min="13" max="13" width="10.15625" bestFit="1" customWidth="1"/>
    <col min="14" max="14" width="6.41796875" bestFit="1" customWidth="1"/>
  </cols>
  <sheetData>
    <row r="1" spans="1:14" x14ac:dyDescent="0.55000000000000004">
      <c r="A1" t="s">
        <v>128</v>
      </c>
      <c r="K1"/>
    </row>
    <row r="2" spans="1:14" s="3" customFormat="1" ht="57.6" x14ac:dyDescent="0.55000000000000004">
      <c r="A2" s="20" t="s">
        <v>14</v>
      </c>
      <c r="B2" s="21" t="s">
        <v>15</v>
      </c>
      <c r="C2" s="23" t="s">
        <v>16</v>
      </c>
      <c r="D2" s="20" t="s">
        <v>17</v>
      </c>
      <c r="E2" s="20" t="s">
        <v>18</v>
      </c>
      <c r="F2" s="20" t="s">
        <v>19</v>
      </c>
      <c r="G2" s="3" t="s">
        <v>169</v>
      </c>
      <c r="H2" s="3" t="s">
        <v>170</v>
      </c>
      <c r="I2" s="20" t="s">
        <v>1</v>
      </c>
      <c r="J2" s="20" t="s">
        <v>20</v>
      </c>
      <c r="K2" s="20" t="s">
        <v>21</v>
      </c>
      <c r="L2" s="20" t="s">
        <v>129</v>
      </c>
      <c r="M2" s="20" t="s">
        <v>130</v>
      </c>
      <c r="N2" s="20" t="s">
        <v>131</v>
      </c>
    </row>
    <row r="3" spans="1:14" x14ac:dyDescent="0.55000000000000004">
      <c r="A3" s="8">
        <f t="shared" ref="A3:A19" si="0">_xlfn.NUMBERVALUE(_xlfn.TEXTBEFORE(_xlfn.TEXTAFTER(K3,"penalty: "), " bits"))</f>
        <v>2193.645</v>
      </c>
      <c r="B3" s="5">
        <f t="shared" ref="B3:B19" si="1">_xlfn.NUMBERVALUE(_xlfn.TEXTBEFORE(_xlfn.TEXTAFTER(K3,"bits (")," bits"))</f>
        <v>2.3041999999999998</v>
      </c>
      <c r="C3" s="7">
        <f t="shared" ref="C3:C19" si="2">_xlfn.NUMBERVALUE(_xlfn.TEXTBEFORE(_xlfn.TEXTAFTER(K3,"predicted "),"% of")/100)</f>
        <v>0.85714000000000001</v>
      </c>
      <c r="D3">
        <f t="shared" ref="D3:D19" si="3">B3/C3</f>
        <v>2.6882422941409803</v>
      </c>
      <c r="E3" t="str">
        <f t="shared" ref="E3:E19" si="4">_xlfn.TEXTBEFORE(_xlfn.TEXTAFTER(K3,"in sequence_"),"_")</f>
        <v>solarWind</v>
      </c>
      <c r="F3" t="s">
        <v>128</v>
      </c>
      <c r="G3">
        <f>_xlfn.XLOOKUP(E3,Sequences,Sequences!$C$2:$C$11)</f>
        <v>1.9595</v>
      </c>
      <c r="H3" t="str">
        <f t="shared" ref="H3:H19" si="5">IF(B3&lt;G3,"Yes","No")</f>
        <v>No</v>
      </c>
      <c r="I3" s="10">
        <f>_xlfn.XLOOKUP(E3,Sequences!$A$2:$A$11,Sequences!$B$2:$B$11)</f>
        <v>0.4758</v>
      </c>
      <c r="J3" t="str">
        <f t="shared" ref="J3:J19" si="6">IF(C3&gt;I3, "Yes", "No")</f>
        <v>Yes</v>
      </c>
      <c r="K3" s="6" t="s">
        <v>132</v>
      </c>
      <c r="L3" s="2" t="s">
        <v>133</v>
      </c>
      <c r="M3" s="2" t="b">
        <v>0</v>
      </c>
      <c r="N3">
        <v>1</v>
      </c>
    </row>
    <row r="4" spans="1:14" x14ac:dyDescent="0.55000000000000004">
      <c r="A4" s="8">
        <f t="shared" si="0"/>
        <v>2672.817</v>
      </c>
      <c r="B4" s="5">
        <f t="shared" si="1"/>
        <v>2.9698000000000002</v>
      </c>
      <c r="C4" s="7">
        <f t="shared" si="2"/>
        <v>0.81555999999999995</v>
      </c>
      <c r="D4">
        <f t="shared" si="3"/>
        <v>3.6414242974152735</v>
      </c>
      <c r="E4" t="str">
        <f t="shared" si="4"/>
        <v>heart2</v>
      </c>
      <c r="F4" t="s">
        <v>128</v>
      </c>
      <c r="G4">
        <f>_xlfn.XLOOKUP(E4,Sequences,Sequences!$C$2:$C$11)</f>
        <v>2.4636</v>
      </c>
      <c r="H4" t="str">
        <f t="shared" si="5"/>
        <v>No</v>
      </c>
      <c r="I4" s="10">
        <f>_xlfn.XLOOKUP(E4,Sequences!$A$2:$A$11,Sequences!$B$2:$B$11)</f>
        <v>0.27889999999999998</v>
      </c>
      <c r="J4" t="str">
        <f t="shared" si="6"/>
        <v>Yes</v>
      </c>
      <c r="K4" s="6" t="s">
        <v>134</v>
      </c>
      <c r="L4" s="2" t="s">
        <v>133</v>
      </c>
      <c r="M4" s="2" t="b">
        <v>0</v>
      </c>
      <c r="N4">
        <v>1</v>
      </c>
    </row>
    <row r="5" spans="1:14" x14ac:dyDescent="0.55000000000000004">
      <c r="A5" s="8">
        <f t="shared" si="0"/>
        <v>3189.7910000000002</v>
      </c>
      <c r="B5" s="5">
        <f t="shared" si="1"/>
        <v>3.5442</v>
      </c>
      <c r="C5" s="7">
        <f t="shared" si="2"/>
        <v>0.77666999999999997</v>
      </c>
      <c r="D5">
        <f t="shared" si="3"/>
        <v>4.5633280543860328</v>
      </c>
      <c r="E5" t="str">
        <f t="shared" si="4"/>
        <v>heart1</v>
      </c>
      <c r="F5" t="s">
        <v>128</v>
      </c>
      <c r="G5">
        <f>_xlfn.XLOOKUP(E5,Sequences,Sequences!$C$2:$C$11)</f>
        <v>2.6314000000000002</v>
      </c>
      <c r="H5" t="str">
        <f t="shared" si="5"/>
        <v>No</v>
      </c>
      <c r="I5" s="10">
        <f>_xlfn.XLOOKUP(E5,Sequences!$A$2:$A$11,Sequences!$B$2:$B$11)</f>
        <v>0.26219999999999999</v>
      </c>
      <c r="J5" t="str">
        <f t="shared" si="6"/>
        <v>Yes</v>
      </c>
      <c r="K5" s="6" t="s">
        <v>135</v>
      </c>
      <c r="L5" s="2" t="s">
        <v>133</v>
      </c>
      <c r="M5" s="2" t="b">
        <v>0</v>
      </c>
      <c r="N5">
        <v>1</v>
      </c>
    </row>
    <row r="6" spans="1:14" x14ac:dyDescent="0.55000000000000004">
      <c r="A6" s="8">
        <f t="shared" si="0"/>
        <v>8125.2569999999996</v>
      </c>
      <c r="B6" s="5">
        <f t="shared" si="1"/>
        <v>2.4719000000000002</v>
      </c>
      <c r="C6" s="7">
        <f t="shared" si="2"/>
        <v>0.44447999999999999</v>
      </c>
      <c r="D6">
        <f t="shared" si="3"/>
        <v>5.5613300935925132</v>
      </c>
      <c r="E6" t="str">
        <f t="shared" si="4"/>
        <v>DIAwind</v>
      </c>
      <c r="F6" t="s">
        <v>128</v>
      </c>
      <c r="G6">
        <f>_xlfn.XLOOKUP(E6,Sequences,Sequences!$C$2:$C$11)</f>
        <v>1.9139999999999999</v>
      </c>
      <c r="H6" t="str">
        <f t="shared" si="5"/>
        <v>No</v>
      </c>
      <c r="I6" s="10">
        <f>_xlfn.XLOOKUP(E6,Sequences!$A$2:$A$11,Sequences!$B$2:$B$11)</f>
        <v>0.4667</v>
      </c>
      <c r="J6" t="str">
        <f t="shared" si="6"/>
        <v>No</v>
      </c>
      <c r="K6" s="6" t="s">
        <v>136</v>
      </c>
      <c r="L6" s="2" t="s">
        <v>133</v>
      </c>
      <c r="M6" s="2" t="b">
        <v>0</v>
      </c>
      <c r="N6">
        <v>1</v>
      </c>
    </row>
    <row r="7" spans="1:14" x14ac:dyDescent="0.55000000000000004">
      <c r="A7" s="8">
        <f t="shared" si="0"/>
        <v>22996.685000000001</v>
      </c>
      <c r="B7" s="5">
        <f t="shared" si="1"/>
        <v>6.9962999999999997</v>
      </c>
      <c r="C7" s="7">
        <f t="shared" si="2"/>
        <v>0.50927999999999995</v>
      </c>
      <c r="D7">
        <f t="shared" si="3"/>
        <v>13.737629594721961</v>
      </c>
      <c r="E7" t="str">
        <f t="shared" si="4"/>
        <v>DIAtemp</v>
      </c>
      <c r="F7" t="s">
        <v>128</v>
      </c>
      <c r="G7">
        <f>_xlfn.XLOOKUP(E7,Sequences,Sequences!$C$2:$C$11)</f>
        <v>2.5186999999999999</v>
      </c>
      <c r="H7" t="str">
        <f t="shared" si="5"/>
        <v>No</v>
      </c>
      <c r="I7" s="10">
        <f>_xlfn.XLOOKUP(E7,Sequences!$A$2:$A$11,Sequences!$B$2:$B$11)</f>
        <v>0.22</v>
      </c>
      <c r="J7" t="str">
        <f t="shared" si="6"/>
        <v>Yes</v>
      </c>
      <c r="K7" s="6" t="s">
        <v>137</v>
      </c>
      <c r="L7" s="2" t="s">
        <v>133</v>
      </c>
      <c r="M7" s="2" t="b">
        <v>0</v>
      </c>
      <c r="N7">
        <v>1</v>
      </c>
    </row>
    <row r="8" spans="1:14" x14ac:dyDescent="0.55000000000000004">
      <c r="A8" s="8">
        <f t="shared" si="0"/>
        <v>18489.948</v>
      </c>
      <c r="B8" s="5">
        <f t="shared" si="1"/>
        <v>3.2702</v>
      </c>
      <c r="C8" s="7">
        <f t="shared" si="2"/>
        <v>0.17651</v>
      </c>
      <c r="D8">
        <f t="shared" si="3"/>
        <v>18.526995637640926</v>
      </c>
      <c r="E8" t="str">
        <f t="shared" si="4"/>
        <v>Hawaiian</v>
      </c>
      <c r="F8" t="s">
        <v>128</v>
      </c>
      <c r="G8">
        <f>_xlfn.XLOOKUP(E8,Sequences,Sequences!$C$2:$C$11)</f>
        <v>2.0611000000000002</v>
      </c>
      <c r="H8" t="str">
        <f t="shared" si="5"/>
        <v>No</v>
      </c>
      <c r="I8" s="10">
        <f>_xlfn.XLOOKUP(E8,Sequences!$A$2:$A$11,Sequences!$B$2:$B$11)</f>
        <v>0.42470000000000002</v>
      </c>
      <c r="J8" t="str">
        <f t="shared" si="6"/>
        <v>No</v>
      </c>
      <c r="K8" s="6" t="s">
        <v>138</v>
      </c>
      <c r="L8" s="2" t="s">
        <v>133</v>
      </c>
      <c r="M8" s="2" t="b">
        <v>0</v>
      </c>
      <c r="N8">
        <v>1</v>
      </c>
    </row>
    <row r="9" spans="1:14" x14ac:dyDescent="0.55000000000000004">
      <c r="A9" s="8">
        <f t="shared" si="0"/>
        <v>29146.080000000002</v>
      </c>
      <c r="B9" s="5">
        <f t="shared" si="1"/>
        <v>2.9146000000000001</v>
      </c>
      <c r="C9" s="7">
        <f t="shared" si="2"/>
        <v>0.17630000000000001</v>
      </c>
      <c r="D9">
        <f t="shared" si="3"/>
        <v>16.532047646057855</v>
      </c>
      <c r="E9" t="str">
        <f t="shared" si="4"/>
        <v>nonuniform</v>
      </c>
      <c r="F9" t="s">
        <v>128</v>
      </c>
      <c r="G9">
        <f>_xlfn.XLOOKUP(E9,Sequences,Sequences!$C$2:$C$11)</f>
        <v>2.6530999999999998</v>
      </c>
      <c r="H9" t="str">
        <f t="shared" si="5"/>
        <v>No</v>
      </c>
      <c r="I9" s="10">
        <f>_xlfn.XLOOKUP(E9,Sequences!$A$2:$A$11,Sequences!$B$2:$B$11)</f>
        <v>0.34549999999999997</v>
      </c>
      <c r="J9" t="str">
        <f t="shared" si="6"/>
        <v>No</v>
      </c>
      <c r="K9" s="6" t="s">
        <v>139</v>
      </c>
      <c r="L9" s="2" t="s">
        <v>133</v>
      </c>
      <c r="M9" s="2" t="b">
        <v>0</v>
      </c>
      <c r="N9">
        <v>1</v>
      </c>
    </row>
    <row r="10" spans="1:14" x14ac:dyDescent="0.55000000000000004">
      <c r="A10" s="8">
        <f t="shared" si="0"/>
        <v>33684.972999999998</v>
      </c>
      <c r="B10" s="5">
        <f t="shared" si="1"/>
        <v>3.3685</v>
      </c>
      <c r="C10" s="7">
        <f t="shared" si="2"/>
        <v>0.11459999999999999</v>
      </c>
      <c r="D10">
        <f t="shared" si="3"/>
        <v>29.393542757417105</v>
      </c>
      <c r="E10" t="str">
        <f t="shared" si="4"/>
        <v>uniform</v>
      </c>
      <c r="F10" t="s">
        <v>128</v>
      </c>
      <c r="G10">
        <f>_xlfn.XLOOKUP(E10,Sequences,Sequences!$C$2:$C$11)</f>
        <v>3.1688000000000001</v>
      </c>
      <c r="H10" t="str">
        <f t="shared" si="5"/>
        <v>No</v>
      </c>
      <c r="I10" s="10">
        <f>_xlfn.XLOOKUP(E10,Sequences!$A$2:$A$11,Sequences!$B$2:$B$11)</f>
        <v>0.1217</v>
      </c>
      <c r="J10" t="str">
        <f t="shared" si="6"/>
        <v>No</v>
      </c>
      <c r="K10" s="6" t="s">
        <v>140</v>
      </c>
      <c r="L10" s="2" t="s">
        <v>133</v>
      </c>
      <c r="M10" s="2" t="b">
        <v>0</v>
      </c>
      <c r="N10">
        <v>1</v>
      </c>
    </row>
    <row r="11" spans="1:14" x14ac:dyDescent="0.55000000000000004">
      <c r="A11" s="8">
        <f t="shared" si="0"/>
        <v>36504.053999999996</v>
      </c>
      <c r="B11" s="5">
        <f t="shared" si="1"/>
        <v>3.6503999999999999</v>
      </c>
      <c r="C11" s="7">
        <f t="shared" si="2"/>
        <v>9.0499999999999997E-2</v>
      </c>
      <c r="D11">
        <f t="shared" si="3"/>
        <v>40.335911602209947</v>
      </c>
      <c r="E11" t="str">
        <f t="shared" si="4"/>
        <v>selfadapt</v>
      </c>
      <c r="F11" t="s">
        <v>128</v>
      </c>
      <c r="G11">
        <f>_xlfn.XLOOKUP(E11,Sequences,Sequences!$C$2:$C$11)</f>
        <v>2.6471</v>
      </c>
      <c r="H11" t="str">
        <f t="shared" si="5"/>
        <v>No</v>
      </c>
      <c r="I11" s="10">
        <f>_xlfn.XLOOKUP(E11,Sequences!$A$2:$A$11,Sequences!$B$2:$B$11)</f>
        <v>0.36120000000000002</v>
      </c>
      <c r="J11" t="str">
        <f t="shared" si="6"/>
        <v>No</v>
      </c>
      <c r="K11" s="6" t="s">
        <v>141</v>
      </c>
      <c r="L11" s="2" t="s">
        <v>133</v>
      </c>
      <c r="M11" s="2" t="b">
        <v>0</v>
      </c>
      <c r="N11">
        <v>1</v>
      </c>
    </row>
    <row r="12" spans="1:14" x14ac:dyDescent="0.55000000000000004">
      <c r="A12" s="8">
        <f t="shared" si="0"/>
        <v>7092.5749999999998</v>
      </c>
      <c r="B12" s="5">
        <f t="shared" si="1"/>
        <v>2.1577999999999999</v>
      </c>
      <c r="C12" s="7">
        <f t="shared" si="2"/>
        <v>0.5111</v>
      </c>
      <c r="D12">
        <f t="shared" si="3"/>
        <v>4.2218743885736645</v>
      </c>
      <c r="E12" t="str">
        <f t="shared" si="4"/>
        <v>DIAtemp</v>
      </c>
      <c r="F12" t="s">
        <v>128</v>
      </c>
      <c r="G12">
        <f>_xlfn.XLOOKUP(E12,Sequences,Sequences!$C$2:$C$11)</f>
        <v>2.5186999999999999</v>
      </c>
      <c r="H12" t="str">
        <f t="shared" si="5"/>
        <v>Yes</v>
      </c>
      <c r="I12" s="10">
        <f>_xlfn.XLOOKUP(E12,Sequences!$A$2:$A$11,Sequences!$B$2:$B$11)</f>
        <v>0.22</v>
      </c>
      <c r="J12" t="str">
        <f t="shared" si="6"/>
        <v>Yes</v>
      </c>
      <c r="K12" s="9" t="s">
        <v>142</v>
      </c>
      <c r="L12" s="2" t="s">
        <v>133</v>
      </c>
      <c r="M12" s="2" t="b">
        <v>0</v>
      </c>
      <c r="N12">
        <v>2</v>
      </c>
    </row>
    <row r="13" spans="1:14" x14ac:dyDescent="0.55000000000000004">
      <c r="A13" s="8">
        <f t="shared" si="0"/>
        <v>18377.100999999999</v>
      </c>
      <c r="B13" s="5">
        <f t="shared" si="1"/>
        <v>3.2503000000000002</v>
      </c>
      <c r="C13" s="7">
        <f t="shared" si="2"/>
        <v>0.17952000000000001</v>
      </c>
      <c r="D13">
        <f t="shared" si="3"/>
        <v>18.105503565062389</v>
      </c>
      <c r="E13" t="str">
        <f t="shared" si="4"/>
        <v>Hawaiian</v>
      </c>
      <c r="F13" t="s">
        <v>128</v>
      </c>
      <c r="G13">
        <f>_xlfn.XLOOKUP(E13,Sequences,Sequences!$C$2:$C$11)</f>
        <v>2.0611000000000002</v>
      </c>
      <c r="H13" t="str">
        <f t="shared" si="5"/>
        <v>No</v>
      </c>
      <c r="I13" s="10">
        <f>_xlfn.XLOOKUP(E13,Sequences!$A$2:$A$11,Sequences!$B$2:$B$11)</f>
        <v>0.42470000000000002</v>
      </c>
      <c r="J13" t="str">
        <f t="shared" si="6"/>
        <v>No</v>
      </c>
      <c r="K13" s="9" t="s">
        <v>143</v>
      </c>
      <c r="L13" s="2" t="s">
        <v>133</v>
      </c>
      <c r="M13" s="2" t="b">
        <v>0</v>
      </c>
      <c r="N13">
        <v>2</v>
      </c>
    </row>
    <row r="14" spans="1:14" x14ac:dyDescent="0.55000000000000004">
      <c r="A14" s="8">
        <f t="shared" si="0"/>
        <v>17839.691999999999</v>
      </c>
      <c r="B14" s="5">
        <f t="shared" si="1"/>
        <v>3.1551999999999998</v>
      </c>
      <c r="C14" s="7">
        <f t="shared" si="2"/>
        <v>0.24726000000000001</v>
      </c>
      <c r="D14">
        <f t="shared" si="3"/>
        <v>12.760656798511686</v>
      </c>
      <c r="E14" t="str">
        <f t="shared" si="4"/>
        <v>Hawaiian</v>
      </c>
      <c r="F14" t="s">
        <v>128</v>
      </c>
      <c r="G14">
        <f>_xlfn.XLOOKUP(E14,Sequences,Sequences!$C$2:$C$11)</f>
        <v>2.0611000000000002</v>
      </c>
      <c r="H14" t="str">
        <f t="shared" si="5"/>
        <v>No</v>
      </c>
      <c r="I14" s="10">
        <f>_xlfn.XLOOKUP(E14,Sequences!$A$2:$A$11,Sequences!$B$2:$B$11)</f>
        <v>0.42470000000000002</v>
      </c>
      <c r="J14" t="str">
        <f t="shared" si="6"/>
        <v>No</v>
      </c>
      <c r="K14" s="9" t="s">
        <v>144</v>
      </c>
      <c r="L14" s="2" t="s">
        <v>133</v>
      </c>
      <c r="M14" s="2" t="b">
        <v>0</v>
      </c>
      <c r="N14">
        <v>5</v>
      </c>
    </row>
    <row r="15" spans="1:14" x14ac:dyDescent="0.55000000000000004">
      <c r="A15" s="8">
        <f t="shared" si="0"/>
        <v>17827.063999999998</v>
      </c>
      <c r="B15" s="5">
        <f t="shared" si="1"/>
        <v>3.153</v>
      </c>
      <c r="C15" s="7">
        <f t="shared" si="2"/>
        <v>0.31941999999999998</v>
      </c>
      <c r="D15">
        <f t="shared" si="3"/>
        <v>9.8710162168931195</v>
      </c>
      <c r="E15" t="str">
        <f t="shared" si="4"/>
        <v>Hawaiian</v>
      </c>
      <c r="F15" t="s">
        <v>128</v>
      </c>
      <c r="G15">
        <f>_xlfn.XLOOKUP(E15,Sequences,Sequences!$C$2:$C$11)</f>
        <v>2.0611000000000002</v>
      </c>
      <c r="H15" t="str">
        <f t="shared" si="5"/>
        <v>No</v>
      </c>
      <c r="I15" s="10">
        <f>_xlfn.XLOOKUP(E15,Sequences!$A$2:$A$11,Sequences!$B$2:$B$11)</f>
        <v>0.42470000000000002</v>
      </c>
      <c r="J15" t="str">
        <f t="shared" si="6"/>
        <v>No</v>
      </c>
      <c r="K15" s="9" t="s">
        <v>145</v>
      </c>
      <c r="L15" s="2" t="s">
        <v>133</v>
      </c>
      <c r="M15" s="2" t="b">
        <v>0</v>
      </c>
      <c r="N15">
        <v>10</v>
      </c>
    </row>
    <row r="16" spans="1:14" x14ac:dyDescent="0.55000000000000004">
      <c r="A16" s="8">
        <f t="shared" si="0"/>
        <v>17964.024000000001</v>
      </c>
      <c r="B16" s="5">
        <f t="shared" si="1"/>
        <v>3.1772</v>
      </c>
      <c r="C16" s="7">
        <f t="shared" si="2"/>
        <v>0.38308999999999999</v>
      </c>
      <c r="D16">
        <f t="shared" si="3"/>
        <v>8.2936124670442979</v>
      </c>
      <c r="E16" t="str">
        <f t="shared" si="4"/>
        <v>Hawaiian</v>
      </c>
      <c r="F16" t="s">
        <v>128</v>
      </c>
      <c r="G16">
        <f>_xlfn.XLOOKUP(E16,Sequences,Sequences!$C$2:$C$11)</f>
        <v>2.0611000000000002</v>
      </c>
      <c r="H16" t="str">
        <f t="shared" si="5"/>
        <v>No</v>
      </c>
      <c r="I16" s="10">
        <f>_xlfn.XLOOKUP(E16,Sequences!$A$2:$A$11,Sequences!$B$2:$B$11)</f>
        <v>0.42470000000000002</v>
      </c>
      <c r="J16" t="str">
        <f t="shared" si="6"/>
        <v>No</v>
      </c>
      <c r="K16" s="9" t="s">
        <v>146</v>
      </c>
      <c r="L16" s="2" t="s">
        <v>133</v>
      </c>
      <c r="M16" s="2" t="b">
        <v>0</v>
      </c>
      <c r="N16">
        <v>20</v>
      </c>
    </row>
    <row r="17" spans="1:14" x14ac:dyDescent="0.55000000000000004">
      <c r="A17" s="8">
        <f t="shared" si="0"/>
        <v>18287.294000000002</v>
      </c>
      <c r="B17" s="5">
        <f t="shared" si="1"/>
        <v>3.2343999999999999</v>
      </c>
      <c r="C17" s="7">
        <f t="shared" si="2"/>
        <v>0.40749999999999997</v>
      </c>
      <c r="D17">
        <f t="shared" si="3"/>
        <v>7.9371779141104302</v>
      </c>
      <c r="E17" t="str">
        <f t="shared" si="4"/>
        <v>Hawaiian</v>
      </c>
      <c r="F17" t="s">
        <v>128</v>
      </c>
      <c r="G17">
        <f>_xlfn.XLOOKUP(E17,Sequences,Sequences!$C$2:$C$11)</f>
        <v>2.0611000000000002</v>
      </c>
      <c r="H17" t="str">
        <f t="shared" si="5"/>
        <v>No</v>
      </c>
      <c r="I17" s="10">
        <f>_xlfn.XLOOKUP(E17,Sequences!$A$2:$A$11,Sequences!$B$2:$B$11)</f>
        <v>0.42470000000000002</v>
      </c>
      <c r="J17" t="str">
        <f t="shared" si="6"/>
        <v>No</v>
      </c>
      <c r="K17" s="9" t="s">
        <v>147</v>
      </c>
      <c r="L17" s="2" t="s">
        <v>133</v>
      </c>
      <c r="M17" s="2" t="b">
        <v>0</v>
      </c>
      <c r="N17">
        <v>40</v>
      </c>
    </row>
    <row r="18" spans="1:14" x14ac:dyDescent="0.55000000000000004">
      <c r="A18" s="8">
        <f t="shared" si="0"/>
        <v>18519.562000000002</v>
      </c>
      <c r="B18" s="5">
        <f t="shared" si="1"/>
        <v>3.2755000000000001</v>
      </c>
      <c r="C18" s="7">
        <f t="shared" si="2"/>
        <v>0.39954000000000001</v>
      </c>
      <c r="D18">
        <f t="shared" si="3"/>
        <v>8.1981779045902794</v>
      </c>
      <c r="E18" t="str">
        <f t="shared" si="4"/>
        <v>Hawaiian</v>
      </c>
      <c r="F18" t="s">
        <v>128</v>
      </c>
      <c r="G18">
        <f>_xlfn.XLOOKUP(E18,Sequences,Sequences!$C$2:$C$11)</f>
        <v>2.0611000000000002</v>
      </c>
      <c r="H18" t="str">
        <f t="shared" si="5"/>
        <v>No</v>
      </c>
      <c r="I18" s="10">
        <f>_xlfn.XLOOKUP(E18,Sequences!$A$2:$A$11,Sequences!$B$2:$B$11)</f>
        <v>0.42470000000000002</v>
      </c>
      <c r="J18" t="str">
        <f t="shared" si="6"/>
        <v>No</v>
      </c>
      <c r="K18" s="9" t="s">
        <v>148</v>
      </c>
      <c r="L18" s="2" t="s">
        <v>133</v>
      </c>
      <c r="M18" s="2" t="b">
        <v>0</v>
      </c>
      <c r="N18">
        <v>80</v>
      </c>
    </row>
    <row r="19" spans="1:14" x14ac:dyDescent="0.55000000000000004">
      <c r="A19" s="8">
        <f t="shared" si="0"/>
        <v>245324.18599999999</v>
      </c>
      <c r="B19" s="5">
        <f t="shared" si="1"/>
        <v>3.2704</v>
      </c>
      <c r="C19" s="7">
        <f t="shared" si="2"/>
        <v>0.13358999999999999</v>
      </c>
      <c r="D19">
        <f t="shared" si="3"/>
        <v>24.480874316939893</v>
      </c>
      <c r="E19" t="str">
        <f t="shared" si="4"/>
        <v>Dickens</v>
      </c>
      <c r="F19" t="s">
        <v>128</v>
      </c>
      <c r="G19">
        <f>_xlfn.XLOOKUP(E19,Sequences,Sequences!$C$2:$C$11)</f>
        <v>2.9093</v>
      </c>
      <c r="H19" t="str">
        <f t="shared" si="5"/>
        <v>No</v>
      </c>
      <c r="I19" s="10">
        <f>_xlfn.XLOOKUP(E19,Sequences!$A$2:$A$11,Sequences!$B$2:$B$11)</f>
        <v>0.2893</v>
      </c>
      <c r="J19" t="str">
        <f t="shared" si="6"/>
        <v>No</v>
      </c>
      <c r="K19" s="9" t="s">
        <v>149</v>
      </c>
      <c r="L19" s="2" t="s">
        <v>133</v>
      </c>
      <c r="M19" s="2" t="b">
        <v>0</v>
      </c>
      <c r="N19">
        <v>1</v>
      </c>
    </row>
  </sheetData>
  <autoFilter ref="A2:N20" xr:uid="{84B9182A-1D61-4B81-884F-470869407FBE}"/>
  <conditionalFormatting sqref="J3:K19">
    <cfRule type="cellIs" dxfId="24" priority="2" operator="equal">
      <formula>"No"</formula>
    </cfRule>
  </conditionalFormatting>
  <conditionalFormatting sqref="H3:H40">
    <cfRule type="cellIs" dxfId="23" priority="1" operator="equal">
      <formula>"No"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72CD-1051-4A2F-82AF-CAB737D71458}">
  <dimension ref="A1:N19"/>
  <sheetViews>
    <sheetView workbookViewId="0">
      <selection activeCell="C1" sqref="C1"/>
    </sheetView>
  </sheetViews>
  <sheetFormatPr defaultColWidth="8.83984375" defaultRowHeight="14.4" x14ac:dyDescent="0.55000000000000004"/>
  <cols>
    <col min="1" max="1" width="13.15625" bestFit="1" customWidth="1"/>
    <col min="2" max="2" width="8.83984375" bestFit="1" customWidth="1"/>
    <col min="3" max="3" width="10.26171875" bestFit="1" customWidth="1"/>
    <col min="4" max="5" width="12.83984375" customWidth="1"/>
    <col min="6" max="6" width="19" bestFit="1" customWidth="1"/>
    <col min="8" max="8" width="8.05078125" bestFit="1" customWidth="1"/>
    <col min="11" max="11" width="8.83984375" style="6"/>
    <col min="12" max="12" width="7.15625" bestFit="1" customWidth="1"/>
    <col min="13" max="13" width="10.15625" bestFit="1" customWidth="1"/>
    <col min="14" max="14" width="6.41796875" bestFit="1" customWidth="1"/>
  </cols>
  <sheetData>
    <row r="1" spans="1:14" x14ac:dyDescent="0.55000000000000004">
      <c r="A1" t="s">
        <v>150</v>
      </c>
      <c r="K1"/>
    </row>
    <row r="2" spans="1:14" s="3" customFormat="1" ht="57.6" x14ac:dyDescent="0.55000000000000004">
      <c r="A2" s="20" t="s">
        <v>14</v>
      </c>
      <c r="B2" s="21" t="s">
        <v>15</v>
      </c>
      <c r="C2" s="23" t="s">
        <v>16</v>
      </c>
      <c r="D2" s="20" t="s">
        <v>17</v>
      </c>
      <c r="E2" s="20" t="s">
        <v>18</v>
      </c>
      <c r="F2" s="20" t="s">
        <v>19</v>
      </c>
      <c r="G2" s="3" t="s">
        <v>169</v>
      </c>
      <c r="H2" s="3" t="s">
        <v>170</v>
      </c>
      <c r="I2" s="20" t="s">
        <v>1</v>
      </c>
      <c r="J2" s="20" t="s">
        <v>20</v>
      </c>
      <c r="K2" s="20" t="s">
        <v>21</v>
      </c>
      <c r="L2" s="20" t="s">
        <v>129</v>
      </c>
      <c r="M2" s="20" t="s">
        <v>130</v>
      </c>
      <c r="N2" s="20" t="s">
        <v>131</v>
      </c>
    </row>
    <row r="3" spans="1:14" x14ac:dyDescent="0.55000000000000004">
      <c r="A3" s="8">
        <f>_xlfn.NUMBERVALUE(_xlfn.TEXTBEFORE(_xlfn.TEXTAFTER(K3,"penalty: "), " bits"))</f>
        <v>6827.5709999999999</v>
      </c>
      <c r="B3" s="5">
        <f>_xlfn.NUMBERVALUE(_xlfn.TEXTBEFORE(_xlfn.TEXTAFTER(K3,"bits (")," bits"))</f>
        <v>2.0771000000000002</v>
      </c>
      <c r="C3" s="7">
        <f>_xlfn.NUMBERVALUE(_xlfn.TEXTBEFORE(_xlfn.TEXTAFTER(K3,"predicted "),"% of")/100)</f>
        <v>0.50592999999999999</v>
      </c>
      <c r="D3">
        <f>B3/C3</f>
        <v>4.1055086672069265</v>
      </c>
      <c r="E3" t="str">
        <f>_xlfn.TEXTBEFORE(_xlfn.TEXTAFTER(K3,"in sequence_"),"_")</f>
        <v>DIAtemp</v>
      </c>
      <c r="F3" t="s">
        <v>150</v>
      </c>
      <c r="G3">
        <f>_xlfn.XLOOKUP(E3,Sequences,Sequences!$C$2:$C$11)</f>
        <v>2.5186999999999999</v>
      </c>
      <c r="H3" t="str">
        <f t="shared" ref="H3:H11" si="0">IF(B3&lt;G3,"Yes","No")</f>
        <v>Yes</v>
      </c>
      <c r="I3" s="10">
        <f>_xlfn.XLOOKUP(E3,Sequences!$A$2:$A$11,Sequences!$B$2:$B$11)</f>
        <v>0.22</v>
      </c>
      <c r="J3" t="str">
        <f>IF(C3&gt;I3, "Yes", "No")</f>
        <v>Yes</v>
      </c>
      <c r="K3" s="9" t="s">
        <v>151</v>
      </c>
      <c r="L3" s="2" t="s">
        <v>133</v>
      </c>
      <c r="M3" s="2" t="b">
        <v>0</v>
      </c>
      <c r="N3">
        <v>1</v>
      </c>
    </row>
    <row r="4" spans="1:14" x14ac:dyDescent="0.55000000000000004">
      <c r="A4" s="8">
        <f t="shared" ref="A4:A11" si="1">_xlfn.NUMBERVALUE(_xlfn.TEXTBEFORE(_xlfn.TEXTAFTER(K4,"penalty: "), " bits"))</f>
        <v>6232.6149999999998</v>
      </c>
      <c r="B4" s="5">
        <f t="shared" ref="B4:B11" si="2">_xlfn.NUMBERVALUE(_xlfn.TEXTBEFORE(_xlfn.TEXTAFTER(K4,"bits (")," bits"))</f>
        <v>1.8960999999999999</v>
      </c>
      <c r="C4" s="7">
        <f t="shared" ref="C4:C11" si="3">_xlfn.NUMBERVALUE(_xlfn.TEXTBEFORE(_xlfn.TEXTAFTER(K4,"predicted "),"% of")/100)</f>
        <v>0.46668999999999999</v>
      </c>
      <c r="D4">
        <f t="shared" ref="D4:D11" si="4">B4/C4</f>
        <v>4.0628682851571707</v>
      </c>
      <c r="E4" t="str">
        <f t="shared" ref="E4:E11" si="5">_xlfn.TEXTBEFORE(_xlfn.TEXTAFTER(K4,"in sequence_"),"_")</f>
        <v>DIAwind</v>
      </c>
      <c r="F4" t="s">
        <v>150</v>
      </c>
      <c r="G4">
        <f>_xlfn.XLOOKUP(E4,Sequences,Sequences!$C$2:$C$11)</f>
        <v>1.9139999999999999</v>
      </c>
      <c r="H4" t="str">
        <f t="shared" si="0"/>
        <v>Yes</v>
      </c>
      <c r="I4" s="10">
        <f>_xlfn.XLOOKUP(E4,Sequences!$A$2:$A$11,Sequences!$B$2:$B$11)</f>
        <v>0.4667</v>
      </c>
      <c r="J4" t="str">
        <f t="shared" ref="J4:J11" si="6">IF(C4&gt;I4, "Yes", "No")</f>
        <v>No</v>
      </c>
      <c r="K4" s="9" t="s">
        <v>152</v>
      </c>
      <c r="L4" s="2" t="s">
        <v>133</v>
      </c>
      <c r="M4" s="2" t="b">
        <v>0</v>
      </c>
      <c r="N4">
        <v>1</v>
      </c>
    </row>
    <row r="5" spans="1:14" x14ac:dyDescent="0.55000000000000004">
      <c r="A5" s="8">
        <f t="shared" si="1"/>
        <v>11361.453</v>
      </c>
      <c r="B5" s="5">
        <f t="shared" si="2"/>
        <v>2.0095000000000001</v>
      </c>
      <c r="C5" s="7">
        <f t="shared" si="3"/>
        <v>0.50973000000000002</v>
      </c>
      <c r="D5">
        <f t="shared" si="4"/>
        <v>3.9422831695211191</v>
      </c>
      <c r="E5" t="str">
        <f t="shared" si="5"/>
        <v>Hawaiian</v>
      </c>
      <c r="F5" t="s">
        <v>150</v>
      </c>
      <c r="G5">
        <f>_xlfn.XLOOKUP(E5,Sequences,Sequences!$C$2:$C$11)</f>
        <v>2.0611000000000002</v>
      </c>
      <c r="H5" t="str">
        <f t="shared" si="0"/>
        <v>Yes</v>
      </c>
      <c r="I5" s="10">
        <f>_xlfn.XLOOKUP(E5,Sequences!$A$2:$A$11,Sequences!$B$2:$B$11)</f>
        <v>0.42470000000000002</v>
      </c>
      <c r="J5" t="str">
        <f t="shared" si="6"/>
        <v>Yes</v>
      </c>
      <c r="K5" s="9" t="s">
        <v>153</v>
      </c>
      <c r="L5" s="2" t="s">
        <v>133</v>
      </c>
      <c r="M5" s="2" t="b">
        <v>0</v>
      </c>
      <c r="N5">
        <v>1</v>
      </c>
    </row>
    <row r="6" spans="1:14" x14ac:dyDescent="0.55000000000000004">
      <c r="A6" s="8">
        <f t="shared" si="1"/>
        <v>1211.229</v>
      </c>
      <c r="B6" s="5">
        <f t="shared" si="2"/>
        <v>1.3458000000000001</v>
      </c>
      <c r="C6" s="7">
        <f t="shared" si="3"/>
        <v>0.77222000000000002</v>
      </c>
      <c r="D6">
        <f t="shared" si="4"/>
        <v>1.7427676050866334</v>
      </c>
      <c r="E6" t="str">
        <f t="shared" si="5"/>
        <v>heart1</v>
      </c>
      <c r="F6" t="s">
        <v>150</v>
      </c>
      <c r="G6">
        <f>_xlfn.XLOOKUP(E6,Sequences,Sequences!$C$2:$C$11)</f>
        <v>2.6314000000000002</v>
      </c>
      <c r="H6" t="str">
        <f t="shared" si="0"/>
        <v>Yes</v>
      </c>
      <c r="I6" s="10">
        <f>_xlfn.XLOOKUP(E6,Sequences!$A$2:$A$11,Sequences!$B$2:$B$11)</f>
        <v>0.26219999999999999</v>
      </c>
      <c r="J6" t="str">
        <f t="shared" si="6"/>
        <v>Yes</v>
      </c>
      <c r="K6" s="9" t="s">
        <v>154</v>
      </c>
      <c r="L6" s="2" t="s">
        <v>133</v>
      </c>
      <c r="M6" s="2" t="b">
        <v>0</v>
      </c>
      <c r="N6">
        <v>1</v>
      </c>
    </row>
    <row r="7" spans="1:14" x14ac:dyDescent="0.55000000000000004">
      <c r="A7" s="8">
        <f t="shared" si="1"/>
        <v>1026.049</v>
      </c>
      <c r="B7" s="5">
        <f t="shared" si="2"/>
        <v>1.1400999999999999</v>
      </c>
      <c r="C7" s="7">
        <f t="shared" si="3"/>
        <v>0.81444000000000005</v>
      </c>
      <c r="D7">
        <f t="shared" si="4"/>
        <v>1.3998575708462253</v>
      </c>
      <c r="E7" t="str">
        <f t="shared" si="5"/>
        <v>heart2</v>
      </c>
      <c r="F7" t="s">
        <v>150</v>
      </c>
      <c r="G7">
        <f>_xlfn.XLOOKUP(E7,Sequences,Sequences!$C$2:$C$11)</f>
        <v>2.4636</v>
      </c>
      <c r="H7" t="str">
        <f t="shared" si="0"/>
        <v>Yes</v>
      </c>
      <c r="I7" s="10">
        <f>_xlfn.XLOOKUP(E7,Sequences!$A$2:$A$11,Sequences!$B$2:$B$11)</f>
        <v>0.27889999999999998</v>
      </c>
      <c r="J7" t="str">
        <f t="shared" si="6"/>
        <v>Yes</v>
      </c>
      <c r="K7" s="9" t="s">
        <v>155</v>
      </c>
      <c r="L7" s="2" t="s">
        <v>133</v>
      </c>
      <c r="M7" s="2" t="b">
        <v>0</v>
      </c>
      <c r="N7">
        <v>1</v>
      </c>
    </row>
    <row r="8" spans="1:14" x14ac:dyDescent="0.55000000000000004">
      <c r="A8" s="8">
        <f t="shared" si="1"/>
        <v>32774.135999999999</v>
      </c>
      <c r="B8" s="5">
        <f t="shared" si="2"/>
        <v>3.2774000000000001</v>
      </c>
      <c r="C8" s="7">
        <f t="shared" si="3"/>
        <v>2.0400000000000001E-2</v>
      </c>
      <c r="D8">
        <f t="shared" si="4"/>
        <v>160.65686274509804</v>
      </c>
      <c r="E8" t="str">
        <f t="shared" si="5"/>
        <v>nonuniform</v>
      </c>
      <c r="F8" t="s">
        <v>150</v>
      </c>
      <c r="G8">
        <f>_xlfn.XLOOKUP(E8,Sequences,Sequences!$C$2:$C$11)</f>
        <v>2.6530999999999998</v>
      </c>
      <c r="H8" t="str">
        <f t="shared" si="0"/>
        <v>No</v>
      </c>
      <c r="I8" s="10">
        <f>_xlfn.XLOOKUP(E8,Sequences!$A$2:$A$11,Sequences!$B$2:$B$11)</f>
        <v>0.34549999999999997</v>
      </c>
      <c r="J8" t="str">
        <f t="shared" si="6"/>
        <v>No</v>
      </c>
      <c r="K8" s="9" t="s">
        <v>156</v>
      </c>
      <c r="L8" s="2" t="s">
        <v>133</v>
      </c>
      <c r="M8" s="2" t="b">
        <v>0</v>
      </c>
      <c r="N8">
        <v>1</v>
      </c>
    </row>
    <row r="9" spans="1:14" x14ac:dyDescent="0.55000000000000004">
      <c r="A9" s="8">
        <f t="shared" si="1"/>
        <v>37715.040000000001</v>
      </c>
      <c r="B9" s="5">
        <f t="shared" si="2"/>
        <v>3.7715000000000001</v>
      </c>
      <c r="C9" s="7">
        <f t="shared" si="3"/>
        <v>0.10390000000000001</v>
      </c>
      <c r="D9">
        <f t="shared" si="4"/>
        <v>36.299326275264676</v>
      </c>
      <c r="E9" t="str">
        <f t="shared" si="5"/>
        <v>selfadapt</v>
      </c>
      <c r="F9" t="s">
        <v>150</v>
      </c>
      <c r="G9">
        <f>_xlfn.XLOOKUP(E9,Sequences,Sequences!$C$2:$C$11)</f>
        <v>2.6471</v>
      </c>
      <c r="H9" t="str">
        <f t="shared" si="0"/>
        <v>No</v>
      </c>
      <c r="I9" s="10">
        <f>_xlfn.XLOOKUP(E9,Sequences!$A$2:$A$11,Sequences!$B$2:$B$11)</f>
        <v>0.36120000000000002</v>
      </c>
      <c r="J9" t="str">
        <f t="shared" si="6"/>
        <v>No</v>
      </c>
      <c r="K9" s="9" t="s">
        <v>157</v>
      </c>
      <c r="L9" s="2" t="s">
        <v>133</v>
      </c>
      <c r="M9" s="2" t="b">
        <v>0</v>
      </c>
      <c r="N9">
        <v>1</v>
      </c>
    </row>
    <row r="10" spans="1:14" x14ac:dyDescent="0.55000000000000004">
      <c r="A10" s="8">
        <f t="shared" si="1"/>
        <v>886.32899999999995</v>
      </c>
      <c r="B10" s="5">
        <f t="shared" si="2"/>
        <v>0.93100000000000005</v>
      </c>
      <c r="C10" s="7">
        <f t="shared" si="3"/>
        <v>0.85714000000000001</v>
      </c>
      <c r="D10">
        <f t="shared" si="4"/>
        <v>1.0861702872342909</v>
      </c>
      <c r="E10" t="str">
        <f t="shared" si="5"/>
        <v>solarWind</v>
      </c>
      <c r="F10" t="s">
        <v>150</v>
      </c>
      <c r="G10">
        <f>_xlfn.XLOOKUP(E10,Sequences,Sequences!$C$2:$C$11)</f>
        <v>1.9595</v>
      </c>
      <c r="H10" t="str">
        <f t="shared" si="0"/>
        <v>Yes</v>
      </c>
      <c r="I10" s="10">
        <f>_xlfn.XLOOKUP(E10,Sequences!$A$2:$A$11,Sequences!$B$2:$B$11)</f>
        <v>0.4758</v>
      </c>
      <c r="J10" t="str">
        <f t="shared" si="6"/>
        <v>Yes</v>
      </c>
      <c r="K10" s="9" t="s">
        <v>158</v>
      </c>
      <c r="L10" s="2" t="s">
        <v>133</v>
      </c>
      <c r="M10" s="2" t="b">
        <v>0</v>
      </c>
      <c r="N10">
        <v>1</v>
      </c>
    </row>
    <row r="11" spans="1:14" x14ac:dyDescent="0.55000000000000004">
      <c r="A11" s="8">
        <f t="shared" si="1"/>
        <v>31705.641</v>
      </c>
      <c r="B11" s="5">
        <f t="shared" si="2"/>
        <v>3.1705999999999999</v>
      </c>
      <c r="C11" s="7">
        <f t="shared" si="3"/>
        <v>0.1147</v>
      </c>
      <c r="D11">
        <f t="shared" si="4"/>
        <v>27.642545771578028</v>
      </c>
      <c r="E11" t="str">
        <f t="shared" si="5"/>
        <v>uniform</v>
      </c>
      <c r="F11" t="s">
        <v>150</v>
      </c>
      <c r="G11">
        <f>_xlfn.XLOOKUP(E11,Sequences,Sequences!$C$2:$C$11)</f>
        <v>3.1688000000000001</v>
      </c>
      <c r="H11" t="str">
        <f t="shared" si="0"/>
        <v>No</v>
      </c>
      <c r="I11" s="10">
        <f>_xlfn.XLOOKUP(E11,Sequences!$A$2:$A$11,Sequences!$B$2:$B$11)</f>
        <v>0.1217</v>
      </c>
      <c r="J11" t="str">
        <f t="shared" si="6"/>
        <v>No</v>
      </c>
      <c r="K11" s="9" t="s">
        <v>159</v>
      </c>
      <c r="L11" s="2" t="s">
        <v>133</v>
      </c>
      <c r="M11" s="2" t="b">
        <v>0</v>
      </c>
      <c r="N11">
        <v>1</v>
      </c>
    </row>
    <row r="12" spans="1:14" x14ac:dyDescent="0.55000000000000004">
      <c r="A12" s="8"/>
      <c r="B12" s="5"/>
      <c r="C12" s="7"/>
      <c r="I12" s="10"/>
      <c r="K12" s="9"/>
      <c r="L12" s="2"/>
      <c r="M12" s="2"/>
    </row>
    <row r="13" spans="1:14" x14ac:dyDescent="0.55000000000000004">
      <c r="A13" s="8"/>
      <c r="B13" s="5"/>
      <c r="C13" s="7"/>
      <c r="I13" s="10"/>
      <c r="K13" s="9"/>
      <c r="L13" s="2"/>
      <c r="M13" s="2"/>
    </row>
    <row r="14" spans="1:14" x14ac:dyDescent="0.55000000000000004">
      <c r="A14" s="8"/>
      <c r="B14" s="5"/>
      <c r="C14" s="7"/>
      <c r="I14" s="10"/>
      <c r="K14" s="9"/>
      <c r="L14" s="2"/>
      <c r="M14" s="2"/>
    </row>
    <row r="15" spans="1:14" x14ac:dyDescent="0.55000000000000004">
      <c r="A15" s="8"/>
      <c r="B15" s="5"/>
      <c r="C15" s="7"/>
      <c r="I15" s="10"/>
      <c r="K15" s="9"/>
      <c r="L15" s="2"/>
      <c r="M15" s="2"/>
    </row>
    <row r="16" spans="1:14" x14ac:dyDescent="0.55000000000000004">
      <c r="A16" s="8"/>
      <c r="B16" s="5"/>
      <c r="C16" s="7"/>
      <c r="I16" s="10"/>
      <c r="K16" s="9"/>
      <c r="L16" s="2"/>
      <c r="M16" s="2"/>
    </row>
    <row r="17" spans="1:13" x14ac:dyDescent="0.55000000000000004">
      <c r="A17" s="8"/>
      <c r="B17" s="5"/>
      <c r="C17" s="7"/>
      <c r="I17" s="10"/>
      <c r="K17" s="9"/>
      <c r="L17" s="2"/>
      <c r="M17" s="2"/>
    </row>
    <row r="18" spans="1:13" x14ac:dyDescent="0.55000000000000004">
      <c r="A18" s="8"/>
      <c r="B18" s="5"/>
      <c r="C18" s="7"/>
      <c r="I18" s="10"/>
      <c r="K18" s="9"/>
      <c r="L18" s="2"/>
      <c r="M18" s="2"/>
    </row>
    <row r="19" spans="1:13" x14ac:dyDescent="0.55000000000000004">
      <c r="A19" s="8"/>
      <c r="B19" s="5"/>
      <c r="C19" s="7"/>
      <c r="I19" s="10"/>
    </row>
  </sheetData>
  <autoFilter ref="A2:K20" xr:uid="{84B9182A-1D61-4B81-884F-470869407FBE}"/>
  <conditionalFormatting sqref="J3:J19">
    <cfRule type="cellIs" dxfId="22" priority="3" operator="equal">
      <formula>"No"</formula>
    </cfRule>
  </conditionalFormatting>
  <conditionalFormatting sqref="K3:K19">
    <cfRule type="cellIs" dxfId="21" priority="2" operator="equal">
      <formula>"No"</formula>
    </cfRule>
  </conditionalFormatting>
  <conditionalFormatting sqref="H3:H40">
    <cfRule type="cellIs" dxfId="20" priority="1" operator="equal">
      <formula>"No"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0DDE-405E-471C-AE04-D3EA770868BE}">
  <dimension ref="A1:K109"/>
  <sheetViews>
    <sheetView workbookViewId="0">
      <selection activeCell="B1" sqref="B1"/>
    </sheetView>
  </sheetViews>
  <sheetFormatPr defaultColWidth="8.83984375" defaultRowHeight="14.4" x14ac:dyDescent="0.55000000000000004"/>
  <cols>
    <col min="1" max="1" width="13.15625" bestFit="1" customWidth="1"/>
    <col min="2" max="2" width="8.83984375" bestFit="1" customWidth="1"/>
    <col min="3" max="3" width="10.26171875" bestFit="1" customWidth="1"/>
    <col min="4" max="5" width="12.83984375" customWidth="1"/>
    <col min="6" max="6" width="19" bestFit="1" customWidth="1"/>
    <col min="8" max="8" width="8.05078125" bestFit="1" customWidth="1"/>
    <col min="11" max="11" width="8.83984375" style="6"/>
  </cols>
  <sheetData>
    <row r="1" spans="1:11" x14ac:dyDescent="0.55000000000000004">
      <c r="A1" t="s">
        <v>160</v>
      </c>
      <c r="J1" s="13" t="s">
        <v>161</v>
      </c>
      <c r="K1" s="14" cm="1">
        <f t="array" ref="K1">_xlfn.XMATCH(TRUE, ISBLANK(A:A))-1</f>
        <v>109</v>
      </c>
    </row>
    <row r="2" spans="1:11" x14ac:dyDescent="0.55000000000000004">
      <c r="A2" t="s">
        <v>162</v>
      </c>
      <c r="K2"/>
    </row>
    <row r="3" spans="1:11" s="3" customFormat="1" ht="57.6" x14ac:dyDescent="0.55000000000000004">
      <c r="A3" s="20" t="s">
        <v>14</v>
      </c>
      <c r="B3" s="21" t="s">
        <v>15</v>
      </c>
      <c r="C3" s="23" t="s">
        <v>16</v>
      </c>
      <c r="D3" s="20" t="s">
        <v>17</v>
      </c>
      <c r="E3" s="20" t="s">
        <v>18</v>
      </c>
      <c r="F3" s="20" t="s">
        <v>19</v>
      </c>
      <c r="G3" s="3" t="s">
        <v>169</v>
      </c>
      <c r="H3" s="3" t="s">
        <v>170</v>
      </c>
      <c r="I3" s="20" t="s">
        <v>1</v>
      </c>
      <c r="J3" s="20" t="s">
        <v>20</v>
      </c>
      <c r="K3" s="20" t="s">
        <v>21</v>
      </c>
    </row>
    <row r="4" spans="1:11" x14ac:dyDescent="0.55000000000000004">
      <c r="A4">
        <f t="shared" ref="A4:A35" si="0">_xlfn.NUMBERVALUE(_xlfn.TEXTBEFORE(_xlfn.TEXTAFTER(K4,"penalty: "), " bits"))</f>
        <v>5401.1049999999996</v>
      </c>
      <c r="B4">
        <f t="shared" ref="B4:B35" si="1">_xlfn.NUMBERVALUE(_xlfn.TEXTBEFORE(_xlfn.TEXTAFTER(K4,"bits (")," bits"))</f>
        <v>1.6432</v>
      </c>
      <c r="C4" s="11">
        <f t="shared" ref="C4:C35" si="2">_xlfn.NUMBERVALUE(_xlfn.TEXTBEFORE(_xlfn.TEXTAFTER(K4,"predicted "),"% of")/100)</f>
        <v>0.52997000000000005</v>
      </c>
      <c r="D4">
        <f t="shared" ref="D4:D35" si="3">B4/C4</f>
        <v>3.1005528614827251</v>
      </c>
      <c r="E4" t="str">
        <f t="shared" ref="E4:E35" si="4">_xlfn.TEXTBEFORE(_xlfn.TEXTAFTER(K4,"in sequence_"),"_")</f>
        <v>DIAtemp</v>
      </c>
      <c r="F4" t="s">
        <v>13</v>
      </c>
      <c r="G4">
        <f>_xlfn.XLOOKUP(E4,Sequences,Sequences!$C$2:$C$11)</f>
        <v>2.5186999999999999</v>
      </c>
      <c r="H4" t="str">
        <f t="shared" ref="H4:H11" si="5">IF(B4&lt;G4,"Yes","No")</f>
        <v>Yes</v>
      </c>
      <c r="I4" s="10">
        <f>_xlfn.XLOOKUP(E4,Sequences!$A$2:$A$11,Sequences!$B$2:$B$11)</f>
        <v>0.22</v>
      </c>
      <c r="J4" t="str">
        <f t="shared" ref="J4:J35" si="6">IF(C4&gt;I4, "Yes", "No")</f>
        <v>Yes</v>
      </c>
      <c r="K4" s="6" t="s">
        <v>41</v>
      </c>
    </row>
    <row r="5" spans="1:11" x14ac:dyDescent="0.55000000000000004">
      <c r="A5">
        <f t="shared" si="0"/>
        <v>5461.3530000000001</v>
      </c>
      <c r="B5">
        <f t="shared" si="1"/>
        <v>1.6615</v>
      </c>
      <c r="C5" s="11">
        <f t="shared" si="2"/>
        <v>0.52297000000000005</v>
      </c>
      <c r="D5">
        <f t="shared" si="3"/>
        <v>3.1770464845019788</v>
      </c>
      <c r="E5" t="str">
        <f t="shared" si="4"/>
        <v>DIATemp</v>
      </c>
      <c r="F5" t="s">
        <v>13</v>
      </c>
      <c r="G5">
        <f>_xlfn.XLOOKUP(E5,Sequences,Sequences!$C$2:$C$11)</f>
        <v>2.5186999999999999</v>
      </c>
      <c r="H5" t="str">
        <f t="shared" si="5"/>
        <v>Yes</v>
      </c>
      <c r="I5" s="10">
        <f>_xlfn.XLOOKUP(E5,Sequences!$A$2:$A$11,Sequences!$B$2:$B$11)</f>
        <v>0.22</v>
      </c>
      <c r="J5" t="str">
        <f t="shared" si="6"/>
        <v>Yes</v>
      </c>
      <c r="K5" s="6" t="s">
        <v>42</v>
      </c>
    </row>
    <row r="6" spans="1:11" x14ac:dyDescent="0.55000000000000004">
      <c r="A6">
        <f t="shared" si="0"/>
        <v>5521.0739999999996</v>
      </c>
      <c r="B6">
        <f t="shared" si="1"/>
        <v>1.6797</v>
      </c>
      <c r="C6" s="11">
        <f t="shared" si="2"/>
        <v>0.52297000000000005</v>
      </c>
      <c r="D6">
        <f t="shared" si="3"/>
        <v>3.2118477159301677</v>
      </c>
      <c r="E6" t="str">
        <f t="shared" si="4"/>
        <v>DIATemp</v>
      </c>
      <c r="F6" t="s">
        <v>13</v>
      </c>
      <c r="G6">
        <f>_xlfn.XLOOKUP(E6,Sequences,Sequences!$C$2:$C$11)</f>
        <v>2.5186999999999999</v>
      </c>
      <c r="H6" t="str">
        <f t="shared" si="5"/>
        <v>Yes</v>
      </c>
      <c r="I6" s="10">
        <f>_xlfn.XLOOKUP(E6,Sequences!$A$2:$A$11,Sequences!$B$2:$B$11)</f>
        <v>0.22</v>
      </c>
      <c r="J6" t="str">
        <f t="shared" si="6"/>
        <v>Yes</v>
      </c>
      <c r="K6" s="6" t="s">
        <v>43</v>
      </c>
    </row>
    <row r="7" spans="1:11" x14ac:dyDescent="0.55000000000000004">
      <c r="A7">
        <f t="shared" si="0"/>
        <v>5512.2709999999997</v>
      </c>
      <c r="B7">
        <f t="shared" si="1"/>
        <v>1.677</v>
      </c>
      <c r="C7" s="11">
        <f t="shared" si="2"/>
        <v>0.52175000000000005</v>
      </c>
      <c r="D7">
        <f t="shared" si="3"/>
        <v>3.214183037853378</v>
      </c>
      <c r="E7" t="str">
        <f t="shared" si="4"/>
        <v>DIAtemp</v>
      </c>
      <c r="F7" t="s">
        <v>13</v>
      </c>
      <c r="G7">
        <f>_xlfn.XLOOKUP(E7,Sequences,Sequences!$C$2:$C$11)</f>
        <v>2.5186999999999999</v>
      </c>
      <c r="H7" t="str">
        <f t="shared" si="5"/>
        <v>Yes</v>
      </c>
      <c r="I7" s="10">
        <f>_xlfn.XLOOKUP(E7,Sequences!$A$2:$A$11,Sequences!$B$2:$B$11)</f>
        <v>0.22</v>
      </c>
      <c r="J7" t="str">
        <f t="shared" si="6"/>
        <v>Yes</v>
      </c>
      <c r="K7" s="6" t="s">
        <v>44</v>
      </c>
    </row>
    <row r="8" spans="1:11" x14ac:dyDescent="0.55000000000000004">
      <c r="A8" s="8">
        <f t="shared" si="0"/>
        <v>5618.3040000000001</v>
      </c>
      <c r="B8" s="5">
        <f t="shared" si="1"/>
        <v>1.7092000000000001</v>
      </c>
      <c r="C8" s="7">
        <f t="shared" si="2"/>
        <v>0.50927999999999995</v>
      </c>
      <c r="D8">
        <f t="shared" si="3"/>
        <v>3.3561105874960733</v>
      </c>
      <c r="E8" t="str">
        <f t="shared" si="4"/>
        <v>DIAtemp</v>
      </c>
      <c r="F8" t="s">
        <v>60</v>
      </c>
      <c r="G8">
        <f>_xlfn.XLOOKUP(E8,Sequences,Sequences!$C$2:$C$11)</f>
        <v>2.5186999999999999</v>
      </c>
      <c r="H8" t="str">
        <f t="shared" si="5"/>
        <v>Yes</v>
      </c>
      <c r="I8" s="10">
        <f>_xlfn.XLOOKUP(E8,Sequences!$A$2:$A$11,Sequences!$B$2:$B$11)</f>
        <v>0.22</v>
      </c>
      <c r="J8" t="str">
        <f t="shared" si="6"/>
        <v>Yes</v>
      </c>
      <c r="K8" s="6" t="s">
        <v>83</v>
      </c>
    </row>
    <row r="9" spans="1:11" x14ac:dyDescent="0.55000000000000004">
      <c r="A9" s="8">
        <f t="shared" si="0"/>
        <v>5638.2669999999998</v>
      </c>
      <c r="B9" s="5">
        <f t="shared" si="1"/>
        <v>1.7153</v>
      </c>
      <c r="C9" s="7">
        <f t="shared" si="2"/>
        <v>0.50927999999999995</v>
      </c>
      <c r="D9">
        <f t="shared" si="3"/>
        <v>3.3680882814954449</v>
      </c>
      <c r="E9" t="str">
        <f t="shared" si="4"/>
        <v>DIAtemp</v>
      </c>
      <c r="F9" t="s">
        <v>60</v>
      </c>
      <c r="G9">
        <f>_xlfn.XLOOKUP(E9,Sequences,Sequences!$C$2:$C$11)</f>
        <v>2.5186999999999999</v>
      </c>
      <c r="H9" t="str">
        <f t="shared" si="5"/>
        <v>Yes</v>
      </c>
      <c r="I9" s="10">
        <f>_xlfn.XLOOKUP(E9,Sequences!$A$2:$A$11,Sequences!$B$2:$B$11)</f>
        <v>0.22</v>
      </c>
      <c r="J9" t="str">
        <f t="shared" si="6"/>
        <v>Yes</v>
      </c>
      <c r="K9" s="6" t="s">
        <v>84</v>
      </c>
    </row>
    <row r="10" spans="1:11" x14ac:dyDescent="0.55000000000000004">
      <c r="A10" s="8">
        <f t="shared" si="0"/>
        <v>6827.5709999999999</v>
      </c>
      <c r="B10" s="5">
        <f t="shared" si="1"/>
        <v>2.0771000000000002</v>
      </c>
      <c r="C10" s="7">
        <f t="shared" si="2"/>
        <v>0.50592999999999999</v>
      </c>
      <c r="D10">
        <f t="shared" si="3"/>
        <v>4.1055086672069265</v>
      </c>
      <c r="E10" t="str">
        <f t="shared" si="4"/>
        <v>DIAtemp</v>
      </c>
      <c r="F10" t="s">
        <v>150</v>
      </c>
      <c r="G10">
        <f>_xlfn.XLOOKUP(E10,Sequences,Sequences!$C$2:$C$11)</f>
        <v>2.5186999999999999</v>
      </c>
      <c r="H10" t="str">
        <f t="shared" si="5"/>
        <v>Yes</v>
      </c>
      <c r="I10" s="10">
        <f>_xlfn.XLOOKUP(E10,Sequences!$A$2:$A$11,Sequences!$B$2:$B$11)</f>
        <v>0.22</v>
      </c>
      <c r="J10" t="str">
        <f t="shared" si="6"/>
        <v>Yes</v>
      </c>
      <c r="K10" s="9" t="s">
        <v>151</v>
      </c>
    </row>
    <row r="11" spans="1:11" x14ac:dyDescent="0.55000000000000004">
      <c r="A11" s="8">
        <f t="shared" si="0"/>
        <v>7092.5749999999998</v>
      </c>
      <c r="B11" s="5">
        <f t="shared" si="1"/>
        <v>2.1577999999999999</v>
      </c>
      <c r="C11" s="7">
        <f t="shared" si="2"/>
        <v>0.5111</v>
      </c>
      <c r="D11">
        <f t="shared" si="3"/>
        <v>4.2218743885736645</v>
      </c>
      <c r="E11" t="str">
        <f t="shared" si="4"/>
        <v>DIAtemp</v>
      </c>
      <c r="F11" t="s">
        <v>128</v>
      </c>
      <c r="G11">
        <f>_xlfn.XLOOKUP(E11,Sequences,Sequences!$C$2:$C$11)</f>
        <v>2.5186999999999999</v>
      </c>
      <c r="H11" t="str">
        <f t="shared" si="5"/>
        <v>Yes</v>
      </c>
      <c r="I11" s="10">
        <f>_xlfn.XLOOKUP(E11,Sequences!$A$2:$A$11,Sequences!$B$2:$B$11)</f>
        <v>0.22</v>
      </c>
      <c r="J11" t="str">
        <f t="shared" si="6"/>
        <v>Yes</v>
      </c>
      <c r="K11" s="9" t="s">
        <v>142</v>
      </c>
    </row>
    <row r="12" spans="1:11" x14ac:dyDescent="0.55000000000000004">
      <c r="A12" s="8">
        <f t="shared" si="0"/>
        <v>6758.4920000000002</v>
      </c>
      <c r="B12" s="5">
        <f t="shared" si="1"/>
        <v>2.0560999999999998</v>
      </c>
      <c r="C12" s="7">
        <f t="shared" si="2"/>
        <v>0.43353000000000003</v>
      </c>
      <c r="D12">
        <f t="shared" si="3"/>
        <v>4.7426937005512873</v>
      </c>
      <c r="E12" t="str">
        <f t="shared" si="4"/>
        <v>DIAtemp</v>
      </c>
      <c r="F12" t="s">
        <v>95</v>
      </c>
      <c r="G12">
        <f>_xlfn.XLOOKUP(E12,Sequences,Sequences!$C$2:$C$11)</f>
        <v>2.5186999999999999</v>
      </c>
      <c r="H12" t="str">
        <f t="shared" ref="H12:H75" si="7">IF(B12&lt;G12,"Yes","No")</f>
        <v>Yes</v>
      </c>
      <c r="I12" s="10">
        <f>_xlfn.XLOOKUP(E12,Sequences!$A$2:$A$11,Sequences!$B$2:$B$11)</f>
        <v>0.22</v>
      </c>
      <c r="J12" t="str">
        <f t="shared" si="6"/>
        <v>Yes</v>
      </c>
      <c r="K12" s="9" t="s">
        <v>120</v>
      </c>
    </row>
    <row r="13" spans="1:11" x14ac:dyDescent="0.55000000000000004">
      <c r="A13" s="8">
        <f t="shared" si="0"/>
        <v>22996.685000000001</v>
      </c>
      <c r="B13" s="5">
        <f t="shared" si="1"/>
        <v>6.9962999999999997</v>
      </c>
      <c r="C13" s="7">
        <f t="shared" si="2"/>
        <v>0.50927999999999995</v>
      </c>
      <c r="D13">
        <f t="shared" si="3"/>
        <v>13.737629594721961</v>
      </c>
      <c r="E13" t="str">
        <f t="shared" si="4"/>
        <v>DIAtemp</v>
      </c>
      <c r="F13" t="s">
        <v>128</v>
      </c>
      <c r="G13">
        <f>_xlfn.XLOOKUP(E13,Sequences,Sequences!$C$2:$C$11)</f>
        <v>2.5186999999999999</v>
      </c>
      <c r="H13" t="str">
        <f t="shared" si="7"/>
        <v>No</v>
      </c>
      <c r="I13" s="10">
        <f>_xlfn.XLOOKUP(E13,Sequences!$A$2:$A$11,Sequences!$B$2:$B$11)</f>
        <v>0.22</v>
      </c>
      <c r="J13" t="str">
        <f t="shared" si="6"/>
        <v>Yes</v>
      </c>
      <c r="K13" s="6" t="s">
        <v>137</v>
      </c>
    </row>
    <row r="14" spans="1:11" x14ac:dyDescent="0.55000000000000004">
      <c r="A14" s="8">
        <f t="shared" si="0"/>
        <v>6210.174</v>
      </c>
      <c r="B14" s="5">
        <f t="shared" si="1"/>
        <v>1.8893</v>
      </c>
      <c r="C14" s="7">
        <f t="shared" si="2"/>
        <v>0.46425</v>
      </c>
      <c r="D14">
        <f t="shared" si="3"/>
        <v>4.0695745826602048</v>
      </c>
      <c r="E14" t="str">
        <f t="shared" si="4"/>
        <v>DIAwind</v>
      </c>
      <c r="F14" t="s">
        <v>60</v>
      </c>
      <c r="G14">
        <f>_xlfn.XLOOKUP(E14,Sequences,Sequences!$C$2:$C$11)</f>
        <v>1.9139999999999999</v>
      </c>
      <c r="H14" t="str">
        <f t="shared" si="7"/>
        <v>Yes</v>
      </c>
      <c r="I14" s="10">
        <f>_xlfn.XLOOKUP(E14,Sequences!$A$2:$A$11,Sequences!$B$2:$B$11)</f>
        <v>0.4667</v>
      </c>
      <c r="J14" t="str">
        <f t="shared" si="6"/>
        <v>No</v>
      </c>
      <c r="K14" s="6" t="s">
        <v>85</v>
      </c>
    </row>
    <row r="15" spans="1:11" x14ac:dyDescent="0.55000000000000004">
      <c r="A15" s="8">
        <f t="shared" si="0"/>
        <v>6232.6149999999998</v>
      </c>
      <c r="B15" s="5">
        <f t="shared" si="1"/>
        <v>1.8960999999999999</v>
      </c>
      <c r="C15" s="7">
        <f t="shared" si="2"/>
        <v>0.46668999999999999</v>
      </c>
      <c r="D15">
        <f t="shared" si="3"/>
        <v>4.0628682851571707</v>
      </c>
      <c r="E15" t="str">
        <f t="shared" si="4"/>
        <v>DIAwind</v>
      </c>
      <c r="F15" t="s">
        <v>150</v>
      </c>
      <c r="G15">
        <f>_xlfn.XLOOKUP(E15,Sequences,Sequences!$C$2:$C$11)</f>
        <v>1.9139999999999999</v>
      </c>
      <c r="H15" t="str">
        <f t="shared" si="7"/>
        <v>Yes</v>
      </c>
      <c r="I15" s="10">
        <f>_xlfn.XLOOKUP(E15,Sequences!$A$2:$A$11,Sequences!$B$2:$B$11)</f>
        <v>0.4667</v>
      </c>
      <c r="J15" t="str">
        <f t="shared" si="6"/>
        <v>No</v>
      </c>
      <c r="K15" s="9" t="s">
        <v>152</v>
      </c>
    </row>
    <row r="16" spans="1:11" x14ac:dyDescent="0.55000000000000004">
      <c r="A16">
        <f t="shared" si="0"/>
        <v>6238.7150000000001</v>
      </c>
      <c r="B16">
        <f t="shared" si="1"/>
        <v>1.8979999999999999</v>
      </c>
      <c r="C16" s="11">
        <f t="shared" si="2"/>
        <v>0.46364</v>
      </c>
      <c r="D16">
        <f t="shared" si="3"/>
        <v>4.0936933827969977</v>
      </c>
      <c r="E16" t="str">
        <f t="shared" si="4"/>
        <v>DIAwind</v>
      </c>
      <c r="F16" t="s">
        <v>13</v>
      </c>
      <c r="G16">
        <f>_xlfn.XLOOKUP(E16,Sequences,Sequences!$C$2:$C$11)</f>
        <v>1.9139999999999999</v>
      </c>
      <c r="H16" t="str">
        <f t="shared" si="7"/>
        <v>Yes</v>
      </c>
      <c r="I16" s="10">
        <f>_xlfn.XLOOKUP(E16,Sequences!$A$2:$A$11,Sequences!$B$2:$B$11)</f>
        <v>0.4667</v>
      </c>
      <c r="J16" t="str">
        <f t="shared" si="6"/>
        <v>No</v>
      </c>
      <c r="K16" s="9" t="s">
        <v>47</v>
      </c>
    </row>
    <row r="17" spans="1:11" x14ac:dyDescent="0.55000000000000004">
      <c r="A17">
        <f t="shared" si="0"/>
        <v>6240.6629999999996</v>
      </c>
      <c r="B17">
        <f t="shared" si="1"/>
        <v>1.8986000000000001</v>
      </c>
      <c r="C17" s="11">
        <f t="shared" si="2"/>
        <v>0.46516999999999997</v>
      </c>
      <c r="D17">
        <f t="shared" si="3"/>
        <v>4.0815185846034785</v>
      </c>
      <c r="E17" t="str">
        <f t="shared" si="4"/>
        <v>DIAwind</v>
      </c>
      <c r="F17" t="s">
        <v>13</v>
      </c>
      <c r="G17">
        <f>_xlfn.XLOOKUP(E17,Sequences,Sequences!$C$2:$C$11)</f>
        <v>1.9139999999999999</v>
      </c>
      <c r="H17" t="str">
        <f t="shared" si="7"/>
        <v>Yes</v>
      </c>
      <c r="I17" s="10">
        <f>_xlfn.XLOOKUP(E17,Sequences!$A$2:$A$11,Sequences!$B$2:$B$11)</f>
        <v>0.4667</v>
      </c>
      <c r="J17" t="str">
        <f t="shared" si="6"/>
        <v>No</v>
      </c>
      <c r="K17" s="9" t="s">
        <v>46</v>
      </c>
    </row>
    <row r="18" spans="1:11" x14ac:dyDescent="0.55000000000000004">
      <c r="A18" s="8">
        <f t="shared" si="0"/>
        <v>6247.8739999999998</v>
      </c>
      <c r="B18" s="5">
        <f t="shared" si="1"/>
        <v>1.9008</v>
      </c>
      <c r="C18" s="7">
        <f t="shared" si="2"/>
        <v>0.46364</v>
      </c>
      <c r="D18">
        <f t="shared" si="3"/>
        <v>4.0997325511172464</v>
      </c>
      <c r="E18" t="str">
        <f t="shared" si="4"/>
        <v>DIAwind</v>
      </c>
      <c r="F18" t="s">
        <v>60</v>
      </c>
      <c r="G18">
        <f>_xlfn.XLOOKUP(E18,Sequences,Sequences!$C$2:$C$11)</f>
        <v>1.9139999999999999</v>
      </c>
      <c r="H18" t="str">
        <f t="shared" si="7"/>
        <v>Yes</v>
      </c>
      <c r="I18" s="10">
        <f>_xlfn.XLOOKUP(E18,Sequences!$A$2:$A$11,Sequences!$B$2:$B$11)</f>
        <v>0.4667</v>
      </c>
      <c r="J18" t="str">
        <f t="shared" si="6"/>
        <v>No</v>
      </c>
      <c r="K18" s="6" t="s">
        <v>86</v>
      </c>
    </row>
    <row r="19" spans="1:11" x14ac:dyDescent="0.55000000000000004">
      <c r="A19">
        <f t="shared" si="0"/>
        <v>6270.598</v>
      </c>
      <c r="B19">
        <f t="shared" si="1"/>
        <v>1.9077</v>
      </c>
      <c r="C19" s="11">
        <f t="shared" si="2"/>
        <v>0.45695000000000002</v>
      </c>
      <c r="D19">
        <f t="shared" si="3"/>
        <v>4.1748550169602794</v>
      </c>
      <c r="E19" t="str">
        <f t="shared" si="4"/>
        <v>DIAwind</v>
      </c>
      <c r="F19" t="s">
        <v>13</v>
      </c>
      <c r="G19">
        <f>_xlfn.XLOOKUP(E19,Sequences,Sequences!$C$2:$C$11)</f>
        <v>1.9139999999999999</v>
      </c>
      <c r="H19" t="str">
        <f t="shared" si="7"/>
        <v>Yes</v>
      </c>
      <c r="I19" s="10">
        <f>_xlfn.XLOOKUP(E19,Sequences!$A$2:$A$11,Sequences!$B$2:$B$11)</f>
        <v>0.4667</v>
      </c>
      <c r="J19" t="str">
        <f t="shared" si="6"/>
        <v>No</v>
      </c>
      <c r="K19" s="9" t="s">
        <v>49</v>
      </c>
    </row>
    <row r="20" spans="1:11" x14ac:dyDescent="0.55000000000000004">
      <c r="A20">
        <f t="shared" si="0"/>
        <v>6278.2860000000001</v>
      </c>
      <c r="B20">
        <f t="shared" si="1"/>
        <v>1.91</v>
      </c>
      <c r="C20" s="11">
        <f t="shared" si="2"/>
        <v>0.46333999999999997</v>
      </c>
      <c r="D20">
        <f t="shared" si="3"/>
        <v>4.1222428454266842</v>
      </c>
      <c r="E20" t="str">
        <f t="shared" si="4"/>
        <v>DIAwind</v>
      </c>
      <c r="F20" t="s">
        <v>13</v>
      </c>
      <c r="G20">
        <f>_xlfn.XLOOKUP(E20,Sequences,Sequences!$C$2:$C$11)</f>
        <v>1.9139999999999999</v>
      </c>
      <c r="H20" t="str">
        <f t="shared" si="7"/>
        <v>Yes</v>
      </c>
      <c r="I20" s="10">
        <f>_xlfn.XLOOKUP(E20,Sequences!$A$2:$A$11,Sequences!$B$2:$B$11)</f>
        <v>0.4667</v>
      </c>
      <c r="J20" t="str">
        <f t="shared" si="6"/>
        <v>No</v>
      </c>
      <c r="K20" s="9" t="s">
        <v>48</v>
      </c>
    </row>
    <row r="21" spans="1:11" x14ac:dyDescent="0.55000000000000004">
      <c r="A21" s="8">
        <f t="shared" si="0"/>
        <v>6340.0420000000004</v>
      </c>
      <c r="B21" s="5">
        <f t="shared" si="1"/>
        <v>1.9288000000000001</v>
      </c>
      <c r="C21" s="7">
        <f t="shared" si="2"/>
        <v>0.46882000000000001</v>
      </c>
      <c r="D21">
        <f t="shared" si="3"/>
        <v>4.1141589522631286</v>
      </c>
      <c r="E21" t="str">
        <f t="shared" si="4"/>
        <v>DIAwind</v>
      </c>
      <c r="F21" t="s">
        <v>60</v>
      </c>
      <c r="G21">
        <f>_xlfn.XLOOKUP(E21,Sequences,Sequences!$C$2:$C$11)</f>
        <v>1.9139999999999999</v>
      </c>
      <c r="H21" t="str">
        <f t="shared" si="7"/>
        <v>No</v>
      </c>
      <c r="I21" s="10">
        <f>_xlfn.XLOOKUP(E21,Sequences!$A$2:$A$11,Sequences!$B$2:$B$11)</f>
        <v>0.4667</v>
      </c>
      <c r="J21" t="str">
        <f t="shared" si="6"/>
        <v>Yes</v>
      </c>
      <c r="K21" s="6" t="s">
        <v>87</v>
      </c>
    </row>
    <row r="22" spans="1:11" x14ac:dyDescent="0.55000000000000004">
      <c r="A22" s="8">
        <f t="shared" si="0"/>
        <v>6451.2250000000004</v>
      </c>
      <c r="B22" s="5">
        <f t="shared" si="1"/>
        <v>1.9625999999999999</v>
      </c>
      <c r="C22" s="7">
        <f t="shared" si="2"/>
        <v>0.45634000000000002</v>
      </c>
      <c r="D22">
        <f t="shared" si="3"/>
        <v>4.3007406758118938</v>
      </c>
      <c r="E22" t="str">
        <f t="shared" si="4"/>
        <v>DIAwind</v>
      </c>
      <c r="F22" t="s">
        <v>95</v>
      </c>
      <c r="G22">
        <f>_xlfn.XLOOKUP(E22,Sequences,Sequences!$C$2:$C$11)</f>
        <v>1.9139999999999999</v>
      </c>
      <c r="H22" t="str">
        <f t="shared" si="7"/>
        <v>No</v>
      </c>
      <c r="I22" s="10">
        <f>_xlfn.XLOOKUP(E22,Sequences!$A$2:$A$11,Sequences!$B$2:$B$11)</f>
        <v>0.4667</v>
      </c>
      <c r="J22" t="str">
        <f t="shared" si="6"/>
        <v>No</v>
      </c>
      <c r="K22" s="9" t="s">
        <v>119</v>
      </c>
    </row>
    <row r="23" spans="1:11" x14ac:dyDescent="0.55000000000000004">
      <c r="A23" s="8">
        <f t="shared" si="0"/>
        <v>8125.2569999999996</v>
      </c>
      <c r="B23" s="5">
        <f t="shared" si="1"/>
        <v>2.4719000000000002</v>
      </c>
      <c r="C23" s="7">
        <f t="shared" si="2"/>
        <v>0.44447999999999999</v>
      </c>
      <c r="D23">
        <f t="shared" si="3"/>
        <v>5.5613300935925132</v>
      </c>
      <c r="E23" t="str">
        <f t="shared" si="4"/>
        <v>DIAwind</v>
      </c>
      <c r="F23" t="s">
        <v>128</v>
      </c>
      <c r="G23">
        <f>_xlfn.XLOOKUP(E23,Sequences,Sequences!$C$2:$C$11)</f>
        <v>1.9139999999999999</v>
      </c>
      <c r="H23" t="str">
        <f t="shared" si="7"/>
        <v>No</v>
      </c>
      <c r="I23" s="10">
        <f>_xlfn.XLOOKUP(E23,Sequences!$A$2:$A$11,Sequences!$B$2:$B$11)</f>
        <v>0.4667</v>
      </c>
      <c r="J23" t="str">
        <f t="shared" si="6"/>
        <v>No</v>
      </c>
      <c r="K23" s="6" t="s">
        <v>136</v>
      </c>
    </row>
    <row r="24" spans="1:11" x14ac:dyDescent="0.55000000000000004">
      <c r="A24" s="8">
        <f t="shared" si="0"/>
        <v>6251.7259999999997</v>
      </c>
      <c r="B24" s="5">
        <f t="shared" si="1"/>
        <v>1.9019999999999999</v>
      </c>
      <c r="C24" s="7">
        <f t="shared" si="2"/>
        <v>0.46760000000000002</v>
      </c>
      <c r="D24">
        <f t="shared" si="3"/>
        <v>4.0675791274593669</v>
      </c>
      <c r="E24" t="str">
        <f t="shared" si="4"/>
        <v>DIAwind</v>
      </c>
      <c r="F24" t="s">
        <v>13</v>
      </c>
      <c r="G24">
        <f>_xlfn.XLOOKUP(E24,Sequences,Sequences!$C$2:$C$11)</f>
        <v>1.9139999999999999</v>
      </c>
      <c r="H24" t="str">
        <f t="shared" si="7"/>
        <v>Yes</v>
      </c>
      <c r="I24" s="10">
        <f>_xlfn.XLOOKUP(E24,Sequences!$A$2:$A$11,Sequences!$B$2:$B$11)</f>
        <v>0.4667</v>
      </c>
      <c r="J24" t="str">
        <f t="shared" si="6"/>
        <v>Yes</v>
      </c>
      <c r="K24" s="9" t="s">
        <v>167</v>
      </c>
    </row>
    <row r="25" spans="1:11" x14ac:dyDescent="0.55000000000000004">
      <c r="A25">
        <f t="shared" si="0"/>
        <v>180907.03099999999</v>
      </c>
      <c r="B25">
        <f t="shared" si="1"/>
        <v>2.4116</v>
      </c>
      <c r="C25" s="11">
        <f t="shared" si="2"/>
        <v>0.42836000000000002</v>
      </c>
      <c r="D25">
        <f t="shared" si="3"/>
        <v>5.6298440564011578</v>
      </c>
      <c r="E25" t="str">
        <f t="shared" si="4"/>
        <v>Dickens</v>
      </c>
      <c r="F25" t="s">
        <v>13</v>
      </c>
      <c r="G25">
        <f>_xlfn.XLOOKUP(E25,Sequences,Sequences!$C$2:$C$11)</f>
        <v>2.9093</v>
      </c>
      <c r="H25" t="str">
        <f t="shared" si="7"/>
        <v>Yes</v>
      </c>
      <c r="I25" s="10">
        <f>_xlfn.XLOOKUP(E25,Sequences!$A$2:$A$11,Sequences!$B$2:$B$11)</f>
        <v>0.2893</v>
      </c>
      <c r="J25" t="str">
        <f t="shared" si="6"/>
        <v>Yes</v>
      </c>
      <c r="K25" s="9" t="s">
        <v>58</v>
      </c>
    </row>
    <row r="26" spans="1:11" x14ac:dyDescent="0.55000000000000004">
      <c r="A26" s="8">
        <f t="shared" si="0"/>
        <v>203615.40599999999</v>
      </c>
      <c r="B26" s="5">
        <f t="shared" si="1"/>
        <v>2.7143999999999999</v>
      </c>
      <c r="C26" s="7">
        <f t="shared" si="2"/>
        <v>0.31317</v>
      </c>
      <c r="D26">
        <f t="shared" si="3"/>
        <v>8.667496886674968</v>
      </c>
      <c r="E26" t="str">
        <f t="shared" si="4"/>
        <v>Dickens</v>
      </c>
      <c r="F26" t="s">
        <v>60</v>
      </c>
      <c r="G26">
        <f>_xlfn.XLOOKUP(E26,Sequences,Sequences!$C$2:$C$11)</f>
        <v>2.9093</v>
      </c>
      <c r="H26" t="str">
        <f t="shared" si="7"/>
        <v>Yes</v>
      </c>
      <c r="I26" s="10">
        <f>_xlfn.XLOOKUP(E26,Sequences!$A$2:$A$11,Sequences!$B$2:$B$11)</f>
        <v>0.2893</v>
      </c>
      <c r="J26" t="str">
        <f t="shared" si="6"/>
        <v>Yes</v>
      </c>
      <c r="K26" s="9" t="s">
        <v>93</v>
      </c>
    </row>
    <row r="27" spans="1:11" x14ac:dyDescent="0.55000000000000004">
      <c r="A27" s="8">
        <f t="shared" si="0"/>
        <v>245324.18599999999</v>
      </c>
      <c r="B27" s="5">
        <f t="shared" si="1"/>
        <v>3.2704</v>
      </c>
      <c r="C27" s="7">
        <f t="shared" si="2"/>
        <v>0.13358999999999999</v>
      </c>
      <c r="D27">
        <f t="shared" si="3"/>
        <v>24.480874316939893</v>
      </c>
      <c r="E27" t="str">
        <f t="shared" si="4"/>
        <v>Dickens</v>
      </c>
      <c r="F27" t="s">
        <v>128</v>
      </c>
      <c r="G27">
        <f>_xlfn.XLOOKUP(E27,Sequences,Sequences!$C$2:$C$11)</f>
        <v>2.9093</v>
      </c>
      <c r="H27" t="str">
        <f t="shared" si="7"/>
        <v>No</v>
      </c>
      <c r="I27" s="10">
        <f>_xlfn.XLOOKUP(E27,Sequences!$A$2:$A$11,Sequences!$B$2:$B$11)</f>
        <v>0.2893</v>
      </c>
      <c r="J27" t="str">
        <f t="shared" si="6"/>
        <v>No</v>
      </c>
      <c r="K27" s="9" t="s">
        <v>149</v>
      </c>
    </row>
    <row r="28" spans="1:11" x14ac:dyDescent="0.55000000000000004">
      <c r="A28" s="8">
        <f t="shared" si="0"/>
        <v>9638.1049999999996</v>
      </c>
      <c r="B28" s="5">
        <f t="shared" si="1"/>
        <v>1.7047000000000001</v>
      </c>
      <c r="C28" s="7">
        <f t="shared" si="2"/>
        <v>0.61673</v>
      </c>
      <c r="D28">
        <f t="shared" si="3"/>
        <v>2.764094498402867</v>
      </c>
      <c r="E28" t="str">
        <f t="shared" si="4"/>
        <v>Hawaiian</v>
      </c>
      <c r="F28" t="s">
        <v>13</v>
      </c>
      <c r="G28">
        <f>_xlfn.XLOOKUP(E28,Sequences,Sequences!$C$2:$C$11)</f>
        <v>2.0611000000000002</v>
      </c>
      <c r="H28" t="str">
        <f t="shared" si="7"/>
        <v>Yes</v>
      </c>
      <c r="I28" s="10">
        <f>_xlfn.XLOOKUP(E28,Sequences!$A$2:$A$11,Sequences!$B$2:$B$11)</f>
        <v>0.42470000000000002</v>
      </c>
      <c r="J28" t="str">
        <f t="shared" si="6"/>
        <v>Yes</v>
      </c>
      <c r="K28" s="9" t="s">
        <v>36</v>
      </c>
    </row>
    <row r="29" spans="1:11" x14ac:dyDescent="0.55000000000000004">
      <c r="A29" s="8">
        <f t="shared" si="0"/>
        <v>9664.6039999999994</v>
      </c>
      <c r="B29" s="5">
        <f t="shared" si="1"/>
        <v>1.7093</v>
      </c>
      <c r="C29" s="7">
        <f t="shared" si="2"/>
        <v>0.61567000000000005</v>
      </c>
      <c r="D29">
        <f t="shared" si="3"/>
        <v>2.7763249792908535</v>
      </c>
      <c r="E29" t="str">
        <f t="shared" si="4"/>
        <v>Hawaiian</v>
      </c>
      <c r="F29" t="s">
        <v>13</v>
      </c>
      <c r="G29">
        <f>_xlfn.XLOOKUP(E29,Sequences,Sequences!$C$2:$C$11)</f>
        <v>2.0611000000000002</v>
      </c>
      <c r="H29" t="str">
        <f t="shared" si="7"/>
        <v>Yes</v>
      </c>
      <c r="I29" s="10">
        <f>_xlfn.XLOOKUP(E29,Sequences!$A$2:$A$11,Sequences!$B$2:$B$11)</f>
        <v>0.42470000000000002</v>
      </c>
      <c r="J29" t="str">
        <f t="shared" si="6"/>
        <v>Yes</v>
      </c>
      <c r="K29" s="9" t="s">
        <v>37</v>
      </c>
    </row>
    <row r="30" spans="1:11" x14ac:dyDescent="0.55000000000000004">
      <c r="A30" s="8">
        <f t="shared" si="0"/>
        <v>9691.6569999999992</v>
      </c>
      <c r="B30" s="5">
        <f t="shared" si="1"/>
        <v>1.7141</v>
      </c>
      <c r="C30" s="7">
        <f t="shared" si="2"/>
        <v>0.62133000000000005</v>
      </c>
      <c r="D30">
        <f t="shared" si="3"/>
        <v>2.7587594354046963</v>
      </c>
      <c r="E30" t="str">
        <f t="shared" si="4"/>
        <v>Hawaiian</v>
      </c>
      <c r="F30" t="s">
        <v>13</v>
      </c>
      <c r="G30">
        <f>_xlfn.XLOOKUP(E30,Sequences,Sequences!$C$2:$C$11)</f>
        <v>2.0611000000000002</v>
      </c>
      <c r="H30" t="str">
        <f t="shared" si="7"/>
        <v>Yes</v>
      </c>
      <c r="I30" s="10">
        <f>_xlfn.XLOOKUP(E30,Sequences!$A$2:$A$11,Sequences!$B$2:$B$11)</f>
        <v>0.42470000000000002</v>
      </c>
      <c r="J30" t="str">
        <f t="shared" si="6"/>
        <v>Yes</v>
      </c>
      <c r="K30" s="9" t="s">
        <v>35</v>
      </c>
    </row>
    <row r="31" spans="1:11" x14ac:dyDescent="0.55000000000000004">
      <c r="A31" s="8">
        <f t="shared" si="0"/>
        <v>9875.56</v>
      </c>
      <c r="B31" s="5">
        <f t="shared" si="1"/>
        <v>1.7466999999999999</v>
      </c>
      <c r="C31" s="7">
        <f t="shared" si="2"/>
        <v>0.61302000000000001</v>
      </c>
      <c r="D31">
        <f t="shared" si="3"/>
        <v>2.8493360738638214</v>
      </c>
      <c r="E31" t="str">
        <f t="shared" si="4"/>
        <v>Hawaiian</v>
      </c>
      <c r="F31" t="s">
        <v>13</v>
      </c>
      <c r="G31">
        <f>_xlfn.XLOOKUP(E31,Sequences,Sequences!$C$2:$C$11)</f>
        <v>2.0611000000000002</v>
      </c>
      <c r="H31" t="str">
        <f t="shared" si="7"/>
        <v>Yes</v>
      </c>
      <c r="I31" s="10">
        <f>_xlfn.XLOOKUP(E31,Sequences!$A$2:$A$11,Sequences!$B$2:$B$11)</f>
        <v>0.42470000000000002</v>
      </c>
      <c r="J31" t="str">
        <f t="shared" si="6"/>
        <v>Yes</v>
      </c>
      <c r="K31" s="9" t="s">
        <v>38</v>
      </c>
    </row>
    <row r="32" spans="1:11" x14ac:dyDescent="0.55000000000000004">
      <c r="A32" s="8">
        <f t="shared" si="0"/>
        <v>9948.6350000000002</v>
      </c>
      <c r="B32" s="5">
        <f t="shared" si="1"/>
        <v>1.7596000000000001</v>
      </c>
      <c r="C32" s="7">
        <f t="shared" si="2"/>
        <v>0.61460999999999999</v>
      </c>
      <c r="D32">
        <f t="shared" si="3"/>
        <v>2.8629537430240317</v>
      </c>
      <c r="E32" t="str">
        <f t="shared" si="4"/>
        <v>Hawaiian</v>
      </c>
      <c r="F32" t="s">
        <v>13</v>
      </c>
      <c r="G32">
        <f>_xlfn.XLOOKUP(E32,Sequences,Sequences!$C$2:$C$11)</f>
        <v>2.0611000000000002</v>
      </c>
      <c r="H32" t="str">
        <f t="shared" si="7"/>
        <v>Yes</v>
      </c>
      <c r="I32" s="10">
        <f>_xlfn.XLOOKUP(E32,Sequences!$A$2:$A$11,Sequences!$B$2:$B$11)</f>
        <v>0.42470000000000002</v>
      </c>
      <c r="J32" t="str">
        <f t="shared" si="6"/>
        <v>Yes</v>
      </c>
      <c r="K32" s="9" t="s">
        <v>39</v>
      </c>
    </row>
    <row r="33" spans="1:11" x14ac:dyDescent="0.55000000000000004">
      <c r="A33" s="8">
        <f t="shared" si="0"/>
        <v>10093.81</v>
      </c>
      <c r="B33" s="5">
        <f t="shared" si="1"/>
        <v>1.7853000000000001</v>
      </c>
      <c r="C33" s="7">
        <f t="shared" si="2"/>
        <v>0.60133999999999999</v>
      </c>
      <c r="D33">
        <f t="shared" si="3"/>
        <v>2.9688695247281074</v>
      </c>
      <c r="E33" t="str">
        <f t="shared" si="4"/>
        <v>Hawaiian</v>
      </c>
      <c r="F33" t="s">
        <v>60</v>
      </c>
      <c r="G33">
        <f>_xlfn.XLOOKUP(E33,Sequences,Sequences!$C$2:$C$11)</f>
        <v>2.0611000000000002</v>
      </c>
      <c r="H33" t="str">
        <f t="shared" si="7"/>
        <v>Yes</v>
      </c>
      <c r="I33" s="10">
        <f>_xlfn.XLOOKUP(E33,Sequences!$A$2:$A$11,Sequences!$B$2:$B$11)</f>
        <v>0.42470000000000002</v>
      </c>
      <c r="J33" t="str">
        <f t="shared" si="6"/>
        <v>Yes</v>
      </c>
      <c r="K33" s="6" t="s">
        <v>78</v>
      </c>
    </row>
    <row r="34" spans="1:11" x14ac:dyDescent="0.55000000000000004">
      <c r="A34" s="8">
        <f t="shared" si="0"/>
        <v>10153.495000000001</v>
      </c>
      <c r="B34" s="5">
        <f t="shared" si="1"/>
        <v>1.7958000000000001</v>
      </c>
      <c r="C34" s="7">
        <f t="shared" si="2"/>
        <v>0.61143000000000003</v>
      </c>
      <c r="D34">
        <f t="shared" si="3"/>
        <v>2.9370492125018397</v>
      </c>
      <c r="E34" t="str">
        <f t="shared" si="4"/>
        <v>Hawaiian</v>
      </c>
      <c r="F34" t="s">
        <v>13</v>
      </c>
      <c r="G34">
        <f>_xlfn.XLOOKUP(E34,Sequences,Sequences!$C$2:$C$11)</f>
        <v>2.0611000000000002</v>
      </c>
      <c r="H34" t="str">
        <f t="shared" si="7"/>
        <v>Yes</v>
      </c>
      <c r="I34" s="10">
        <f>_xlfn.XLOOKUP(E34,Sequences!$A$2:$A$11,Sequences!$B$2:$B$11)</f>
        <v>0.42470000000000002</v>
      </c>
      <c r="J34" t="str">
        <f t="shared" si="6"/>
        <v>Yes</v>
      </c>
      <c r="K34" s="9" t="s">
        <v>40</v>
      </c>
    </row>
    <row r="35" spans="1:11" x14ac:dyDescent="0.55000000000000004">
      <c r="A35" s="8">
        <f t="shared" si="0"/>
        <v>10167.869000000001</v>
      </c>
      <c r="B35" s="5">
        <f t="shared" si="1"/>
        <v>1.7983</v>
      </c>
      <c r="C35" s="7">
        <f t="shared" si="2"/>
        <v>0.60133999999999999</v>
      </c>
      <c r="D35">
        <f t="shared" si="3"/>
        <v>2.9904879103335884</v>
      </c>
      <c r="E35" t="str">
        <f t="shared" si="4"/>
        <v>Hawaiian</v>
      </c>
      <c r="F35" t="s">
        <v>60</v>
      </c>
      <c r="G35">
        <f>_xlfn.XLOOKUP(E35,Sequences,Sequences!$C$2:$C$11)</f>
        <v>2.0611000000000002</v>
      </c>
      <c r="H35" t="str">
        <f t="shared" si="7"/>
        <v>Yes</v>
      </c>
      <c r="I35" s="10">
        <f>_xlfn.XLOOKUP(E35,Sequences!$A$2:$A$11,Sequences!$B$2:$B$11)</f>
        <v>0.42470000000000002</v>
      </c>
      <c r="J35" t="str">
        <f t="shared" si="6"/>
        <v>Yes</v>
      </c>
      <c r="K35" s="6" t="s">
        <v>79</v>
      </c>
    </row>
    <row r="36" spans="1:11" x14ac:dyDescent="0.55000000000000004">
      <c r="A36" s="8">
        <f t="shared" ref="A36:A67" si="8">_xlfn.NUMBERVALUE(_xlfn.TEXTBEFORE(_xlfn.TEXTAFTER(K36,"penalty: "), " bits"))</f>
        <v>10263.27</v>
      </c>
      <c r="B36" s="5">
        <f t="shared" ref="B36:B67" si="9">_xlfn.NUMBERVALUE(_xlfn.TEXTBEFORE(_xlfn.TEXTAFTER(K36,"bits (")," bits"))</f>
        <v>1.8151999999999999</v>
      </c>
      <c r="C36" s="7">
        <f t="shared" ref="C36:C67" si="10">_xlfn.NUMBERVALUE(_xlfn.TEXTBEFORE(_xlfn.TEXTAFTER(K36,"predicted "),"% of")/100)</f>
        <v>0.60133999999999999</v>
      </c>
      <c r="D36">
        <f t="shared" ref="D36:D67" si="11">B36/C36</f>
        <v>3.0185918116207135</v>
      </c>
      <c r="E36" t="str">
        <f t="shared" ref="E36:E67" si="12">_xlfn.TEXTBEFORE(_xlfn.TEXTAFTER(K36,"in sequence_"),"_")</f>
        <v>Hawaiian</v>
      </c>
      <c r="F36" t="s">
        <v>60</v>
      </c>
      <c r="G36">
        <f>_xlfn.XLOOKUP(E36,Sequences,Sequences!$C$2:$C$11)</f>
        <v>2.0611000000000002</v>
      </c>
      <c r="H36" t="str">
        <f t="shared" si="7"/>
        <v>Yes</v>
      </c>
      <c r="I36" s="10">
        <f>_xlfn.XLOOKUP(E36,Sequences!$A$2:$A$11,Sequences!$B$2:$B$11)</f>
        <v>0.42470000000000002</v>
      </c>
      <c r="J36" t="str">
        <f t="shared" ref="J36:J67" si="13">IF(C36&gt;I36, "Yes", "No")</f>
        <v>Yes</v>
      </c>
      <c r="K36" s="6" t="s">
        <v>81</v>
      </c>
    </row>
    <row r="37" spans="1:11" x14ac:dyDescent="0.55000000000000004">
      <c r="A37" s="8">
        <f t="shared" si="8"/>
        <v>10263.27</v>
      </c>
      <c r="B37" s="5">
        <f t="shared" si="9"/>
        <v>1.8151999999999999</v>
      </c>
      <c r="C37" s="7">
        <f t="shared" si="10"/>
        <v>0.60133999999999999</v>
      </c>
      <c r="D37">
        <f t="shared" si="11"/>
        <v>3.0185918116207135</v>
      </c>
      <c r="E37" t="str">
        <f t="shared" si="12"/>
        <v>Hawaiian</v>
      </c>
      <c r="F37" t="s">
        <v>60</v>
      </c>
      <c r="G37">
        <f>_xlfn.XLOOKUP(E37,Sequences,Sequences!$C$2:$C$11)</f>
        <v>2.0611000000000002</v>
      </c>
      <c r="H37" t="str">
        <f t="shared" si="7"/>
        <v>Yes</v>
      </c>
      <c r="I37" s="10">
        <f>_xlfn.XLOOKUP(E37,Sequences!$A$2:$A$11,Sequences!$B$2:$B$11)</f>
        <v>0.42470000000000002</v>
      </c>
      <c r="J37" t="str">
        <f t="shared" si="13"/>
        <v>Yes</v>
      </c>
      <c r="K37" s="6" t="s">
        <v>81</v>
      </c>
    </row>
    <row r="38" spans="1:11" x14ac:dyDescent="0.55000000000000004">
      <c r="A38" s="8">
        <f t="shared" si="8"/>
        <v>11361.453</v>
      </c>
      <c r="B38" s="5">
        <f t="shared" si="9"/>
        <v>2.0095000000000001</v>
      </c>
      <c r="C38" s="7">
        <f t="shared" si="10"/>
        <v>0.50973000000000002</v>
      </c>
      <c r="D38">
        <f t="shared" si="11"/>
        <v>3.9422831695211191</v>
      </c>
      <c r="E38" t="str">
        <f t="shared" si="12"/>
        <v>Hawaiian</v>
      </c>
      <c r="F38" t="s">
        <v>150</v>
      </c>
      <c r="G38">
        <f>_xlfn.XLOOKUP(E38,Sequences,Sequences!$C$2:$C$11)</f>
        <v>2.0611000000000002</v>
      </c>
      <c r="H38" t="str">
        <f t="shared" si="7"/>
        <v>Yes</v>
      </c>
      <c r="I38" s="10">
        <f>_xlfn.XLOOKUP(E38,Sequences!$A$2:$A$11,Sequences!$B$2:$B$11)</f>
        <v>0.42470000000000002</v>
      </c>
      <c r="J38" t="str">
        <f t="shared" si="13"/>
        <v>Yes</v>
      </c>
      <c r="K38" s="9" t="s">
        <v>153</v>
      </c>
    </row>
    <row r="39" spans="1:11" x14ac:dyDescent="0.55000000000000004">
      <c r="A39" s="8">
        <f t="shared" si="8"/>
        <v>17432.940999999999</v>
      </c>
      <c r="B39" s="5">
        <f t="shared" si="9"/>
        <v>3.0832999999999999</v>
      </c>
      <c r="C39" s="7">
        <f t="shared" si="10"/>
        <v>0.41050999999999999</v>
      </c>
      <c r="D39">
        <f t="shared" si="11"/>
        <v>7.5109010742734652</v>
      </c>
      <c r="E39" t="str">
        <f t="shared" si="12"/>
        <v>Hawaiian</v>
      </c>
      <c r="F39" t="s">
        <v>95</v>
      </c>
      <c r="G39">
        <f>_xlfn.XLOOKUP(E39,Sequences,Sequences!$C$2:$C$11)</f>
        <v>2.0611000000000002</v>
      </c>
      <c r="H39" t="str">
        <f t="shared" si="7"/>
        <v>No</v>
      </c>
      <c r="I39" s="10">
        <f>_xlfn.XLOOKUP(E39,Sequences!$A$2:$A$11,Sequences!$B$2:$B$11)</f>
        <v>0.42470000000000002</v>
      </c>
      <c r="J39" t="str">
        <f t="shared" si="13"/>
        <v>No</v>
      </c>
      <c r="K39" s="9" t="s">
        <v>121</v>
      </c>
    </row>
    <row r="40" spans="1:11" x14ac:dyDescent="0.55000000000000004">
      <c r="A40" s="8">
        <f t="shared" si="8"/>
        <v>17827.063999999998</v>
      </c>
      <c r="B40" s="5">
        <f t="shared" si="9"/>
        <v>3.153</v>
      </c>
      <c r="C40" s="7">
        <f t="shared" si="10"/>
        <v>0.31941999999999998</v>
      </c>
      <c r="D40">
        <f t="shared" si="11"/>
        <v>9.8710162168931195</v>
      </c>
      <c r="E40" t="str">
        <f t="shared" si="12"/>
        <v>Hawaiian</v>
      </c>
      <c r="F40" t="s">
        <v>128</v>
      </c>
      <c r="G40">
        <f>_xlfn.XLOOKUP(E40,Sequences,Sequences!$C$2:$C$11)</f>
        <v>2.0611000000000002</v>
      </c>
      <c r="H40" t="str">
        <f t="shared" si="7"/>
        <v>No</v>
      </c>
      <c r="I40" s="10">
        <f>_xlfn.XLOOKUP(E40,Sequences!$A$2:$A$11,Sequences!$B$2:$B$11)</f>
        <v>0.42470000000000002</v>
      </c>
      <c r="J40" t="str">
        <f t="shared" si="13"/>
        <v>No</v>
      </c>
      <c r="K40" s="9" t="s">
        <v>145</v>
      </c>
    </row>
    <row r="41" spans="1:11" x14ac:dyDescent="0.55000000000000004">
      <c r="A41" s="8">
        <f t="shared" si="8"/>
        <v>17839.691999999999</v>
      </c>
      <c r="B41" s="5">
        <f t="shared" si="9"/>
        <v>3.1551999999999998</v>
      </c>
      <c r="C41" s="7">
        <f t="shared" si="10"/>
        <v>0.24726000000000001</v>
      </c>
      <c r="D41">
        <f t="shared" si="11"/>
        <v>12.760656798511686</v>
      </c>
      <c r="E41" t="str">
        <f t="shared" si="12"/>
        <v>Hawaiian</v>
      </c>
      <c r="F41" t="s">
        <v>128</v>
      </c>
      <c r="G41">
        <f>_xlfn.XLOOKUP(E41,Sequences,Sequences!$C$2:$C$11)</f>
        <v>2.0611000000000002</v>
      </c>
      <c r="H41" t="str">
        <f t="shared" si="7"/>
        <v>No</v>
      </c>
      <c r="I41" s="10">
        <f>_xlfn.XLOOKUP(E41,Sequences!$A$2:$A$11,Sequences!$B$2:$B$11)</f>
        <v>0.42470000000000002</v>
      </c>
      <c r="J41" t="str">
        <f t="shared" si="13"/>
        <v>No</v>
      </c>
      <c r="K41" s="9" t="s">
        <v>144</v>
      </c>
    </row>
    <row r="42" spans="1:11" x14ac:dyDescent="0.55000000000000004">
      <c r="A42" s="8">
        <f t="shared" si="8"/>
        <v>17964.024000000001</v>
      </c>
      <c r="B42" s="5">
        <f t="shared" si="9"/>
        <v>3.1772</v>
      </c>
      <c r="C42" s="7">
        <f t="shared" si="10"/>
        <v>0.38308999999999999</v>
      </c>
      <c r="D42">
        <f t="shared" si="11"/>
        <v>8.2936124670442979</v>
      </c>
      <c r="E42" t="str">
        <f t="shared" si="12"/>
        <v>Hawaiian</v>
      </c>
      <c r="F42" t="s">
        <v>128</v>
      </c>
      <c r="G42">
        <f>_xlfn.XLOOKUP(E42,Sequences,Sequences!$C$2:$C$11)</f>
        <v>2.0611000000000002</v>
      </c>
      <c r="H42" t="str">
        <f t="shared" si="7"/>
        <v>No</v>
      </c>
      <c r="I42" s="10">
        <f>_xlfn.XLOOKUP(E42,Sequences!$A$2:$A$11,Sequences!$B$2:$B$11)</f>
        <v>0.42470000000000002</v>
      </c>
      <c r="J42" t="str">
        <f t="shared" si="13"/>
        <v>No</v>
      </c>
      <c r="K42" s="9" t="s">
        <v>146</v>
      </c>
    </row>
    <row r="43" spans="1:11" x14ac:dyDescent="0.55000000000000004">
      <c r="A43" s="8">
        <f t="shared" si="8"/>
        <v>18287.294000000002</v>
      </c>
      <c r="B43" s="5">
        <f t="shared" si="9"/>
        <v>3.2343999999999999</v>
      </c>
      <c r="C43" s="7">
        <f t="shared" si="10"/>
        <v>0.40749999999999997</v>
      </c>
      <c r="D43">
        <f t="shared" si="11"/>
        <v>7.9371779141104302</v>
      </c>
      <c r="E43" t="str">
        <f t="shared" si="12"/>
        <v>Hawaiian</v>
      </c>
      <c r="F43" t="s">
        <v>128</v>
      </c>
      <c r="G43">
        <f>_xlfn.XLOOKUP(E43,Sequences,Sequences!$C$2:$C$11)</f>
        <v>2.0611000000000002</v>
      </c>
      <c r="H43" t="str">
        <f t="shared" si="7"/>
        <v>No</v>
      </c>
      <c r="I43" s="10">
        <f>_xlfn.XLOOKUP(E43,Sequences!$A$2:$A$11,Sequences!$B$2:$B$11)</f>
        <v>0.42470000000000002</v>
      </c>
      <c r="J43" t="str">
        <f t="shared" si="13"/>
        <v>No</v>
      </c>
      <c r="K43" s="9" t="s">
        <v>147</v>
      </c>
    </row>
    <row r="44" spans="1:11" x14ac:dyDescent="0.55000000000000004">
      <c r="A44" s="8">
        <f t="shared" si="8"/>
        <v>18377.100999999999</v>
      </c>
      <c r="B44" s="5">
        <f t="shared" si="9"/>
        <v>3.2503000000000002</v>
      </c>
      <c r="C44" s="7">
        <f t="shared" si="10"/>
        <v>0.17952000000000001</v>
      </c>
      <c r="D44">
        <f t="shared" si="11"/>
        <v>18.105503565062389</v>
      </c>
      <c r="E44" t="str">
        <f t="shared" si="12"/>
        <v>Hawaiian</v>
      </c>
      <c r="F44" t="s">
        <v>128</v>
      </c>
      <c r="G44">
        <f>_xlfn.XLOOKUP(E44,Sequences,Sequences!$C$2:$C$11)</f>
        <v>2.0611000000000002</v>
      </c>
      <c r="H44" t="str">
        <f t="shared" si="7"/>
        <v>No</v>
      </c>
      <c r="I44" s="10">
        <f>_xlfn.XLOOKUP(E44,Sequences!$A$2:$A$11,Sequences!$B$2:$B$11)</f>
        <v>0.42470000000000002</v>
      </c>
      <c r="J44" t="str">
        <f t="shared" si="13"/>
        <v>No</v>
      </c>
      <c r="K44" s="9" t="s">
        <v>143</v>
      </c>
    </row>
    <row r="45" spans="1:11" x14ac:dyDescent="0.55000000000000004">
      <c r="A45" s="8">
        <f t="shared" si="8"/>
        <v>18489.948</v>
      </c>
      <c r="B45" s="5">
        <f t="shared" si="9"/>
        <v>3.2702</v>
      </c>
      <c r="C45" s="7">
        <f t="shared" si="10"/>
        <v>0.17651</v>
      </c>
      <c r="D45">
        <f t="shared" si="11"/>
        <v>18.526995637640926</v>
      </c>
      <c r="E45" t="str">
        <f t="shared" si="12"/>
        <v>Hawaiian</v>
      </c>
      <c r="F45" t="s">
        <v>128</v>
      </c>
      <c r="G45">
        <f>_xlfn.XLOOKUP(E45,Sequences,Sequences!$C$2:$C$11)</f>
        <v>2.0611000000000002</v>
      </c>
      <c r="H45" t="str">
        <f t="shared" si="7"/>
        <v>No</v>
      </c>
      <c r="I45" s="10">
        <f>_xlfn.XLOOKUP(E45,Sequences!$A$2:$A$11,Sequences!$B$2:$B$11)</f>
        <v>0.42470000000000002</v>
      </c>
      <c r="J45" t="str">
        <f t="shared" si="13"/>
        <v>No</v>
      </c>
      <c r="K45" s="6" t="s">
        <v>138</v>
      </c>
    </row>
    <row r="46" spans="1:11" x14ac:dyDescent="0.55000000000000004">
      <c r="A46" s="8">
        <f t="shared" si="8"/>
        <v>18519.562000000002</v>
      </c>
      <c r="B46" s="5">
        <f t="shared" si="9"/>
        <v>3.2755000000000001</v>
      </c>
      <c r="C46" s="7">
        <f t="shared" si="10"/>
        <v>0.39954000000000001</v>
      </c>
      <c r="D46">
        <f t="shared" si="11"/>
        <v>8.1981779045902794</v>
      </c>
      <c r="E46" t="str">
        <f t="shared" si="12"/>
        <v>Hawaiian</v>
      </c>
      <c r="F46" t="s">
        <v>128</v>
      </c>
      <c r="G46">
        <f>_xlfn.XLOOKUP(E46,Sequences,Sequences!$C$2:$C$11)</f>
        <v>2.0611000000000002</v>
      </c>
      <c r="H46" t="str">
        <f t="shared" si="7"/>
        <v>No</v>
      </c>
      <c r="I46" s="10">
        <f>_xlfn.XLOOKUP(E46,Sequences!$A$2:$A$11,Sequences!$B$2:$B$11)</f>
        <v>0.42470000000000002</v>
      </c>
      <c r="J46" t="str">
        <f t="shared" si="13"/>
        <v>No</v>
      </c>
      <c r="K46" s="9" t="s">
        <v>148</v>
      </c>
    </row>
    <row r="47" spans="1:11" x14ac:dyDescent="0.55000000000000004">
      <c r="A47" s="8">
        <f t="shared" si="8"/>
        <v>3189.7910000000002</v>
      </c>
      <c r="B47" s="5">
        <f t="shared" si="9"/>
        <v>3.5442</v>
      </c>
      <c r="C47" s="7">
        <f t="shared" si="10"/>
        <v>0.77666999999999997</v>
      </c>
      <c r="D47">
        <f t="shared" si="11"/>
        <v>4.5633280543860328</v>
      </c>
      <c r="E47" t="str">
        <f t="shared" si="12"/>
        <v>heart1</v>
      </c>
      <c r="F47" t="s">
        <v>128</v>
      </c>
      <c r="G47">
        <f>_xlfn.XLOOKUP(E47,Sequences,Sequences!$C$2:$C$11)</f>
        <v>2.6314000000000002</v>
      </c>
      <c r="H47" t="str">
        <f t="shared" si="7"/>
        <v>No</v>
      </c>
      <c r="I47" s="10">
        <f>_xlfn.XLOOKUP(E47,Sequences!$A$2:$A$11,Sequences!$B$2:$B$11)</f>
        <v>0.26219999999999999</v>
      </c>
      <c r="J47" t="str">
        <f t="shared" si="13"/>
        <v>Yes</v>
      </c>
      <c r="K47" s="6" t="s">
        <v>135</v>
      </c>
    </row>
    <row r="48" spans="1:11" x14ac:dyDescent="0.55000000000000004">
      <c r="A48" s="8">
        <f t="shared" si="8"/>
        <v>1211.229</v>
      </c>
      <c r="B48" s="5">
        <f t="shared" si="9"/>
        <v>1.3458000000000001</v>
      </c>
      <c r="C48" s="7">
        <f t="shared" si="10"/>
        <v>0.77222000000000002</v>
      </c>
      <c r="D48">
        <f t="shared" si="11"/>
        <v>1.7427676050866334</v>
      </c>
      <c r="E48" t="str">
        <f t="shared" si="12"/>
        <v>heart1</v>
      </c>
      <c r="F48" t="s">
        <v>150</v>
      </c>
      <c r="G48">
        <f>_xlfn.XLOOKUP(E48,Sequences,Sequences!$C$2:$C$11)</f>
        <v>2.6314000000000002</v>
      </c>
      <c r="H48" t="str">
        <f t="shared" si="7"/>
        <v>Yes</v>
      </c>
      <c r="I48" s="10">
        <f>_xlfn.XLOOKUP(E48,Sequences!$A$2:$A$11,Sequences!$B$2:$B$11)</f>
        <v>0.26219999999999999</v>
      </c>
      <c r="J48" t="str">
        <f t="shared" si="13"/>
        <v>Yes</v>
      </c>
      <c r="K48" s="9" t="s">
        <v>154</v>
      </c>
    </row>
    <row r="49" spans="1:11" x14ac:dyDescent="0.55000000000000004">
      <c r="A49" s="8">
        <f t="shared" si="8"/>
        <v>1141.374</v>
      </c>
      <c r="B49" s="5">
        <f t="shared" si="9"/>
        <v>1.2682</v>
      </c>
      <c r="C49" s="7">
        <f t="shared" si="10"/>
        <v>0.75666999999999995</v>
      </c>
      <c r="D49">
        <f t="shared" si="11"/>
        <v>1.6760278589081106</v>
      </c>
      <c r="E49" t="str">
        <f t="shared" si="12"/>
        <v>heart1</v>
      </c>
      <c r="F49" t="s">
        <v>13</v>
      </c>
      <c r="G49">
        <f>_xlfn.XLOOKUP(E49,Sequences,Sequences!$C$2:$C$11)</f>
        <v>2.6314000000000002</v>
      </c>
      <c r="H49" t="str">
        <f t="shared" si="7"/>
        <v>Yes</v>
      </c>
      <c r="I49" s="10">
        <f>_xlfn.XLOOKUP(E49,Sequences!$A$2:$A$11,Sequences!$B$2:$B$11)</f>
        <v>0.26219999999999999</v>
      </c>
      <c r="J49" t="str">
        <f t="shared" si="13"/>
        <v>Yes</v>
      </c>
      <c r="K49" s="6" t="s">
        <v>30</v>
      </c>
    </row>
    <row r="50" spans="1:11" x14ac:dyDescent="0.55000000000000004">
      <c r="A50" s="8">
        <f t="shared" si="8"/>
        <v>1432.91</v>
      </c>
      <c r="B50" s="5">
        <f t="shared" si="9"/>
        <v>1.5921000000000001</v>
      </c>
      <c r="C50" s="7">
        <f t="shared" si="10"/>
        <v>0.74778</v>
      </c>
      <c r="D50">
        <f t="shared" si="11"/>
        <v>2.1291021423413303</v>
      </c>
      <c r="E50" t="str">
        <f t="shared" si="12"/>
        <v>heart1</v>
      </c>
      <c r="F50" t="s">
        <v>13</v>
      </c>
      <c r="G50">
        <f>_xlfn.XLOOKUP(E50,Sequences,Sequences!$C$2:$C$11)</f>
        <v>2.6314000000000002</v>
      </c>
      <c r="H50" t="str">
        <f t="shared" si="7"/>
        <v>Yes</v>
      </c>
      <c r="I50" s="10">
        <f>_xlfn.XLOOKUP(E50,Sequences!$A$2:$A$11,Sequences!$B$2:$B$11)</f>
        <v>0.26219999999999999</v>
      </c>
      <c r="J50" t="str">
        <f t="shared" si="13"/>
        <v>Yes</v>
      </c>
      <c r="K50" s="6" t="s">
        <v>34</v>
      </c>
    </row>
    <row r="51" spans="1:11" x14ac:dyDescent="0.55000000000000004">
      <c r="A51" s="8">
        <f t="shared" si="8"/>
        <v>1308.1220000000001</v>
      </c>
      <c r="B51" s="5">
        <f t="shared" si="9"/>
        <v>1.4535</v>
      </c>
      <c r="C51" s="7">
        <f t="shared" si="10"/>
        <v>0.73111000000000004</v>
      </c>
      <c r="D51">
        <f t="shared" si="11"/>
        <v>1.9880729302020215</v>
      </c>
      <c r="E51" t="str">
        <f t="shared" si="12"/>
        <v>heart1</v>
      </c>
      <c r="F51" t="s">
        <v>13</v>
      </c>
      <c r="G51">
        <f>_xlfn.XLOOKUP(E51,Sequences,Sequences!$C$2:$C$11)</f>
        <v>2.6314000000000002</v>
      </c>
      <c r="H51" t="str">
        <f t="shared" si="7"/>
        <v>Yes</v>
      </c>
      <c r="I51" s="10">
        <f>_xlfn.XLOOKUP(E51,Sequences!$A$2:$A$11,Sequences!$B$2:$B$11)</f>
        <v>0.26219999999999999</v>
      </c>
      <c r="J51" t="str">
        <f t="shared" si="13"/>
        <v>Yes</v>
      </c>
      <c r="K51" s="9" t="s">
        <v>33</v>
      </c>
    </row>
    <row r="52" spans="1:11" x14ac:dyDescent="0.55000000000000004">
      <c r="A52" s="8">
        <f t="shared" si="8"/>
        <v>1667.097</v>
      </c>
      <c r="B52" s="5">
        <f t="shared" si="9"/>
        <v>1.8523000000000001</v>
      </c>
      <c r="C52" s="11">
        <f t="shared" si="10"/>
        <v>0.62444</v>
      </c>
      <c r="D52">
        <f t="shared" si="11"/>
        <v>2.9663378387034784</v>
      </c>
      <c r="E52" t="str">
        <f t="shared" si="12"/>
        <v>heart1</v>
      </c>
      <c r="F52" t="s">
        <v>95</v>
      </c>
      <c r="G52">
        <f>_xlfn.XLOOKUP(E52,Sequences,Sequences!$C$2:$C$11)</f>
        <v>2.6314000000000002</v>
      </c>
      <c r="H52" t="str">
        <f t="shared" si="7"/>
        <v>Yes</v>
      </c>
      <c r="I52" s="10">
        <f>_xlfn.XLOOKUP(E52,Sequences!$A$2:$A$11,Sequences!$B$2:$B$11)</f>
        <v>0.26219999999999999</v>
      </c>
      <c r="J52" t="str">
        <f t="shared" si="13"/>
        <v>Yes</v>
      </c>
      <c r="K52" s="6" t="s">
        <v>115</v>
      </c>
    </row>
    <row r="53" spans="1:11" x14ac:dyDescent="0.55000000000000004">
      <c r="A53" s="8">
        <f t="shared" si="8"/>
        <v>1726.5519999999999</v>
      </c>
      <c r="B53" s="5">
        <f t="shared" si="9"/>
        <v>1.9184000000000001</v>
      </c>
      <c r="C53" s="7">
        <f t="shared" si="10"/>
        <v>0.60111000000000003</v>
      </c>
      <c r="D53">
        <f t="shared" si="11"/>
        <v>3.1914291893330673</v>
      </c>
      <c r="E53" t="str">
        <f t="shared" si="12"/>
        <v>heart1</v>
      </c>
      <c r="F53" t="s">
        <v>95</v>
      </c>
      <c r="G53">
        <f>_xlfn.XLOOKUP(E53,Sequences,Sequences!$C$2:$C$11)</f>
        <v>2.6314000000000002</v>
      </c>
      <c r="H53" t="str">
        <f t="shared" si="7"/>
        <v>Yes</v>
      </c>
      <c r="I53" s="10">
        <f>_xlfn.XLOOKUP(E53,Sequences!$A$2:$A$11,Sequences!$B$2:$B$11)</f>
        <v>0.26219999999999999</v>
      </c>
      <c r="J53" t="str">
        <f t="shared" si="13"/>
        <v>Yes</v>
      </c>
      <c r="K53" s="9" t="s">
        <v>118</v>
      </c>
    </row>
    <row r="54" spans="1:11" x14ac:dyDescent="0.55000000000000004">
      <c r="A54" s="8">
        <f t="shared" si="8"/>
        <v>1532.616</v>
      </c>
      <c r="B54" s="5">
        <f t="shared" si="9"/>
        <v>1.7029000000000001</v>
      </c>
      <c r="C54" s="7">
        <f t="shared" si="10"/>
        <v>0.6</v>
      </c>
      <c r="D54">
        <f t="shared" si="11"/>
        <v>2.8381666666666669</v>
      </c>
      <c r="E54" t="str">
        <f t="shared" si="12"/>
        <v>heart1</v>
      </c>
      <c r="F54" t="s">
        <v>95</v>
      </c>
      <c r="G54">
        <f>_xlfn.XLOOKUP(E54,Sequences,Sequences!$C$2:$C$11)</f>
        <v>2.6314000000000002</v>
      </c>
      <c r="H54" t="str">
        <f t="shared" si="7"/>
        <v>Yes</v>
      </c>
      <c r="I54" s="10">
        <f>_xlfn.XLOOKUP(E54,Sequences!$A$2:$A$11,Sequences!$B$2:$B$11)</f>
        <v>0.26219999999999999</v>
      </c>
      <c r="J54" t="str">
        <f t="shared" si="13"/>
        <v>Yes</v>
      </c>
      <c r="K54" s="9" t="s">
        <v>114</v>
      </c>
    </row>
    <row r="55" spans="1:11" x14ac:dyDescent="0.55000000000000004">
      <c r="A55" s="8">
        <f t="shared" si="8"/>
        <v>1706.893</v>
      </c>
      <c r="B55" s="5">
        <f t="shared" si="9"/>
        <v>1.8965000000000001</v>
      </c>
      <c r="C55" s="7">
        <f t="shared" si="10"/>
        <v>0.59667000000000003</v>
      </c>
      <c r="D55">
        <f t="shared" si="11"/>
        <v>3.1784738632745069</v>
      </c>
      <c r="E55" t="str">
        <f t="shared" si="12"/>
        <v>heart1</v>
      </c>
      <c r="F55" t="s">
        <v>95</v>
      </c>
      <c r="G55">
        <f>_xlfn.XLOOKUP(E55,Sequences,Sequences!$C$2:$C$11)</f>
        <v>2.6314000000000002</v>
      </c>
      <c r="H55" t="str">
        <f t="shared" si="7"/>
        <v>Yes</v>
      </c>
      <c r="I55" s="10">
        <f>_xlfn.XLOOKUP(E55,Sequences!$A$2:$A$11,Sequences!$B$2:$B$11)</f>
        <v>0.26219999999999999</v>
      </c>
      <c r="J55" t="str">
        <f t="shared" si="13"/>
        <v>Yes</v>
      </c>
      <c r="K55" s="9" t="s">
        <v>117</v>
      </c>
    </row>
    <row r="56" spans="1:11" x14ac:dyDescent="0.55000000000000004">
      <c r="A56" s="8">
        <f t="shared" si="8"/>
        <v>1010.985</v>
      </c>
      <c r="B56" s="5">
        <f t="shared" si="9"/>
        <v>1.1233</v>
      </c>
      <c r="C56" s="7">
        <f t="shared" si="10"/>
        <v>0.73777999999999999</v>
      </c>
      <c r="D56">
        <f t="shared" si="11"/>
        <v>1.5225405947572446</v>
      </c>
      <c r="E56" t="str">
        <f t="shared" si="12"/>
        <v>heart1</v>
      </c>
      <c r="F56" t="s">
        <v>60</v>
      </c>
      <c r="G56">
        <f>_xlfn.XLOOKUP(E56,Sequences,Sequences!$C$2:$C$11)</f>
        <v>2.6314000000000002</v>
      </c>
      <c r="H56" t="str">
        <f t="shared" si="7"/>
        <v>Yes</v>
      </c>
      <c r="I56" s="10">
        <f>_xlfn.XLOOKUP(E56,Sequences!$A$2:$A$11,Sequences!$B$2:$B$11)</f>
        <v>0.26219999999999999</v>
      </c>
      <c r="J56" t="str">
        <f t="shared" si="13"/>
        <v>Yes</v>
      </c>
      <c r="K56" s="9" t="s">
        <v>91</v>
      </c>
    </row>
    <row r="57" spans="1:11" x14ac:dyDescent="0.55000000000000004">
      <c r="A57">
        <f t="shared" si="8"/>
        <v>1092.646</v>
      </c>
      <c r="B57">
        <f t="shared" si="9"/>
        <v>1.2141</v>
      </c>
      <c r="C57" s="11">
        <f t="shared" si="10"/>
        <v>0.76222000000000001</v>
      </c>
      <c r="D57">
        <f t="shared" si="11"/>
        <v>1.5928472094670829</v>
      </c>
      <c r="E57" t="str">
        <f t="shared" si="12"/>
        <v>heart1</v>
      </c>
      <c r="F57" t="s">
        <v>13</v>
      </c>
      <c r="G57">
        <f>_xlfn.XLOOKUP(E57,Sequences,Sequences!$C$2:$C$11)</f>
        <v>2.6314000000000002</v>
      </c>
      <c r="H57" t="str">
        <f t="shared" si="7"/>
        <v>Yes</v>
      </c>
      <c r="I57" s="10">
        <f>_xlfn.XLOOKUP(E57,Sequences!$A$2:$A$11,Sequences!$B$2:$B$11)</f>
        <v>0.26219999999999999</v>
      </c>
      <c r="J57" t="str">
        <f t="shared" si="13"/>
        <v>Yes</v>
      </c>
      <c r="K57" s="9" t="s">
        <v>168</v>
      </c>
    </row>
    <row r="58" spans="1:11" x14ac:dyDescent="0.55000000000000004">
      <c r="A58" s="8">
        <f t="shared" si="8"/>
        <v>824.899</v>
      </c>
      <c r="B58" s="5">
        <f t="shared" si="9"/>
        <v>0.91659999999999997</v>
      </c>
      <c r="C58" s="7">
        <f t="shared" si="10"/>
        <v>0.81444000000000005</v>
      </c>
      <c r="D58">
        <f t="shared" si="11"/>
        <v>1.1254358823240507</v>
      </c>
      <c r="E58" t="str">
        <f t="shared" si="12"/>
        <v>heart2</v>
      </c>
      <c r="F58" t="s">
        <v>60</v>
      </c>
      <c r="G58">
        <f>_xlfn.XLOOKUP(E58,Sequences,Sequences!$C$2:$C$11)</f>
        <v>2.4636</v>
      </c>
      <c r="H58" t="str">
        <f t="shared" si="7"/>
        <v>Yes</v>
      </c>
      <c r="I58" s="10">
        <f>_xlfn.XLOOKUP(E58,Sequences!$A$2:$A$11,Sequences!$B$2:$B$11)</f>
        <v>0.27889999999999998</v>
      </c>
      <c r="J58" t="str">
        <f t="shared" si="13"/>
        <v>Yes</v>
      </c>
      <c r="K58" s="9" t="s">
        <v>72</v>
      </c>
    </row>
    <row r="59" spans="1:11" x14ac:dyDescent="0.55000000000000004">
      <c r="A59" s="8">
        <f t="shared" si="8"/>
        <v>824.94299999999998</v>
      </c>
      <c r="B59" s="5">
        <f t="shared" si="9"/>
        <v>0.91659999999999997</v>
      </c>
      <c r="C59" s="7">
        <f t="shared" si="10"/>
        <v>0.81444000000000005</v>
      </c>
      <c r="D59">
        <f t="shared" si="11"/>
        <v>1.1254358823240507</v>
      </c>
      <c r="E59" t="str">
        <f t="shared" si="12"/>
        <v>heart2</v>
      </c>
      <c r="F59" t="s">
        <v>60</v>
      </c>
      <c r="G59">
        <f>_xlfn.XLOOKUP(E59,Sequences,Sequences!$C$2:$C$11)</f>
        <v>2.4636</v>
      </c>
      <c r="H59" t="str">
        <f t="shared" si="7"/>
        <v>Yes</v>
      </c>
      <c r="I59" s="10">
        <f>_xlfn.XLOOKUP(E59,Sequences!$A$2:$A$11,Sequences!$B$2:$B$11)</f>
        <v>0.27889999999999998</v>
      </c>
      <c r="J59" t="str">
        <f t="shared" si="13"/>
        <v>Yes</v>
      </c>
      <c r="K59" s="9" t="s">
        <v>70</v>
      </c>
    </row>
    <row r="60" spans="1:11" x14ac:dyDescent="0.55000000000000004">
      <c r="A60" s="8">
        <f t="shared" si="8"/>
        <v>827.71799999999996</v>
      </c>
      <c r="B60" s="5">
        <f t="shared" si="9"/>
        <v>0.91969999999999996</v>
      </c>
      <c r="C60" s="7">
        <f t="shared" si="10"/>
        <v>0.81667000000000001</v>
      </c>
      <c r="D60">
        <f t="shared" si="11"/>
        <v>1.1261586687401275</v>
      </c>
      <c r="E60" t="str">
        <f t="shared" si="12"/>
        <v>heart2</v>
      </c>
      <c r="F60" t="s">
        <v>60</v>
      </c>
      <c r="G60">
        <f>_xlfn.XLOOKUP(E60,Sequences,Sequences!$C$2:$C$11)</f>
        <v>2.4636</v>
      </c>
      <c r="H60" t="str">
        <f t="shared" si="7"/>
        <v>Yes</v>
      </c>
      <c r="I60" s="10">
        <f>_xlfn.XLOOKUP(E60,Sequences!$A$2:$A$11,Sequences!$B$2:$B$11)</f>
        <v>0.27889999999999998</v>
      </c>
      <c r="J60" t="str">
        <f t="shared" si="13"/>
        <v>Yes</v>
      </c>
      <c r="K60" s="9" t="s">
        <v>74</v>
      </c>
    </row>
    <row r="61" spans="1:11" x14ac:dyDescent="0.55000000000000004">
      <c r="A61" s="8">
        <f t="shared" si="8"/>
        <v>828.05100000000004</v>
      </c>
      <c r="B61" s="5">
        <f t="shared" si="9"/>
        <v>0.92010000000000003</v>
      </c>
      <c r="C61" s="7">
        <f t="shared" si="10"/>
        <v>0.81667000000000001</v>
      </c>
      <c r="D61">
        <f t="shared" si="11"/>
        <v>1.126648462659336</v>
      </c>
      <c r="E61" t="str">
        <f t="shared" si="12"/>
        <v>heart2</v>
      </c>
      <c r="F61" t="s">
        <v>60</v>
      </c>
      <c r="G61">
        <f>_xlfn.XLOOKUP(E61,Sequences,Sequences!$C$2:$C$11)</f>
        <v>2.4636</v>
      </c>
      <c r="H61" t="str">
        <f t="shared" si="7"/>
        <v>Yes</v>
      </c>
      <c r="I61" s="10">
        <f>_xlfn.XLOOKUP(E61,Sequences!$A$2:$A$11,Sequences!$B$2:$B$11)</f>
        <v>0.27889999999999998</v>
      </c>
      <c r="J61" t="str">
        <f t="shared" si="13"/>
        <v>Yes</v>
      </c>
      <c r="K61" s="9" t="s">
        <v>76</v>
      </c>
    </row>
    <row r="62" spans="1:11" x14ac:dyDescent="0.55000000000000004">
      <c r="A62" s="8">
        <f t="shared" si="8"/>
        <v>966.12300000000005</v>
      </c>
      <c r="B62" s="5">
        <f t="shared" si="9"/>
        <v>1.0734999999999999</v>
      </c>
      <c r="C62" s="7">
        <f t="shared" si="10"/>
        <v>0.81555999999999995</v>
      </c>
      <c r="D62">
        <f t="shared" si="11"/>
        <v>1.3162734807984697</v>
      </c>
      <c r="E62" t="str">
        <f t="shared" si="12"/>
        <v>heart2</v>
      </c>
      <c r="F62" t="s">
        <v>13</v>
      </c>
      <c r="G62">
        <f>_xlfn.XLOOKUP(E62,Sequences,Sequences!$C$2:$C$11)</f>
        <v>2.4636</v>
      </c>
      <c r="H62" t="str">
        <f t="shared" si="7"/>
        <v>Yes</v>
      </c>
      <c r="I62" s="10">
        <f>_xlfn.XLOOKUP(E62,Sequences!$A$2:$A$11,Sequences!$B$2:$B$11)</f>
        <v>0.27889999999999998</v>
      </c>
      <c r="J62" t="str">
        <f t="shared" si="13"/>
        <v>Yes</v>
      </c>
      <c r="K62" s="6" t="s">
        <v>27</v>
      </c>
    </row>
    <row r="63" spans="1:11" x14ac:dyDescent="0.55000000000000004">
      <c r="A63" s="8">
        <f t="shared" si="8"/>
        <v>1026.049</v>
      </c>
      <c r="B63" s="5">
        <f t="shared" si="9"/>
        <v>1.1400999999999999</v>
      </c>
      <c r="C63" s="7">
        <f t="shared" si="10"/>
        <v>0.81444000000000005</v>
      </c>
      <c r="D63">
        <f t="shared" si="11"/>
        <v>1.3998575708462253</v>
      </c>
      <c r="E63" t="str">
        <f t="shared" si="12"/>
        <v>heart2</v>
      </c>
      <c r="F63" t="s">
        <v>150</v>
      </c>
      <c r="G63">
        <f>_xlfn.XLOOKUP(E63,Sequences,Sequences!$C$2:$C$11)</f>
        <v>2.4636</v>
      </c>
      <c r="H63" t="str">
        <f t="shared" si="7"/>
        <v>Yes</v>
      </c>
      <c r="I63" s="10">
        <f>_xlfn.XLOOKUP(E63,Sequences!$A$2:$A$11,Sequences!$B$2:$B$11)</f>
        <v>0.27889999999999998</v>
      </c>
      <c r="J63" t="str">
        <f t="shared" si="13"/>
        <v>Yes</v>
      </c>
      <c r="K63" s="9" t="s">
        <v>155</v>
      </c>
    </row>
    <row r="64" spans="1:11" x14ac:dyDescent="0.55000000000000004">
      <c r="A64" s="8">
        <f t="shared" si="8"/>
        <v>1221.4570000000001</v>
      </c>
      <c r="B64" s="5">
        <f t="shared" si="9"/>
        <v>1.3572</v>
      </c>
      <c r="C64" s="7">
        <f t="shared" si="10"/>
        <v>0.81444000000000005</v>
      </c>
      <c r="D64">
        <f t="shared" si="11"/>
        <v>1.6664210991601589</v>
      </c>
      <c r="E64" t="str">
        <f t="shared" si="12"/>
        <v>heart2</v>
      </c>
      <c r="F64" t="s">
        <v>13</v>
      </c>
      <c r="G64">
        <f>_xlfn.XLOOKUP(E64,Sequences,Sequences!$C$2:$C$11)</f>
        <v>2.4636</v>
      </c>
      <c r="H64" t="str">
        <f t="shared" si="7"/>
        <v>Yes</v>
      </c>
      <c r="I64" s="10">
        <f>_xlfn.XLOOKUP(E64,Sequences!$A$2:$A$11,Sequences!$B$2:$B$11)</f>
        <v>0.27889999999999998</v>
      </c>
      <c r="J64" t="str">
        <f t="shared" si="13"/>
        <v>Yes</v>
      </c>
      <c r="K64" s="6" t="s">
        <v>29</v>
      </c>
    </row>
    <row r="65" spans="1:11" x14ac:dyDescent="0.55000000000000004">
      <c r="A65" s="8">
        <f t="shared" si="8"/>
        <v>1234.5609999999999</v>
      </c>
      <c r="B65" s="5">
        <f t="shared" si="9"/>
        <v>1.3716999999999999</v>
      </c>
      <c r="C65" s="7">
        <f t="shared" si="10"/>
        <v>0.81444000000000005</v>
      </c>
      <c r="D65">
        <f t="shared" si="11"/>
        <v>1.6842247433819555</v>
      </c>
      <c r="E65" t="str">
        <f t="shared" si="12"/>
        <v>heart2</v>
      </c>
      <c r="F65" t="s">
        <v>13</v>
      </c>
      <c r="G65">
        <f>_xlfn.XLOOKUP(E65,Sequences,Sequences!$C$2:$C$11)</f>
        <v>2.4636</v>
      </c>
      <c r="H65" t="str">
        <f t="shared" si="7"/>
        <v>Yes</v>
      </c>
      <c r="I65" s="10">
        <f>_xlfn.XLOOKUP(E65,Sequences!$A$2:$A$11,Sequences!$B$2:$B$11)</f>
        <v>0.27889999999999998</v>
      </c>
      <c r="J65" t="str">
        <f t="shared" si="13"/>
        <v>Yes</v>
      </c>
      <c r="K65" s="6" t="s">
        <v>31</v>
      </c>
    </row>
    <row r="66" spans="1:11" x14ac:dyDescent="0.55000000000000004">
      <c r="A66" s="8">
        <f t="shared" si="8"/>
        <v>1097.5930000000001</v>
      </c>
      <c r="B66" s="5">
        <f t="shared" si="9"/>
        <v>1.2195</v>
      </c>
      <c r="C66" s="7">
        <f t="shared" si="10"/>
        <v>0.72</v>
      </c>
      <c r="D66">
        <f t="shared" si="11"/>
        <v>1.6937500000000001</v>
      </c>
      <c r="E66" t="str">
        <f t="shared" si="12"/>
        <v>heart2</v>
      </c>
      <c r="F66" t="s">
        <v>95</v>
      </c>
      <c r="G66">
        <f>_xlfn.XLOOKUP(E66,Sequences,Sequences!$C$2:$C$11)</f>
        <v>2.4636</v>
      </c>
      <c r="H66" t="str">
        <f t="shared" si="7"/>
        <v>Yes</v>
      </c>
      <c r="I66" s="10">
        <f>_xlfn.XLOOKUP(E66,Sequences!$A$2:$A$11,Sequences!$B$2:$B$11)</f>
        <v>0.27889999999999998</v>
      </c>
      <c r="J66" t="str">
        <f t="shared" si="13"/>
        <v>Yes</v>
      </c>
      <c r="K66" s="6" t="s">
        <v>102</v>
      </c>
    </row>
    <row r="67" spans="1:11" x14ac:dyDescent="0.55000000000000004">
      <c r="A67" s="8">
        <f t="shared" si="8"/>
        <v>1280.1980000000001</v>
      </c>
      <c r="B67" s="5">
        <f t="shared" si="9"/>
        <v>1.4224000000000001</v>
      </c>
      <c r="C67" s="7">
        <f t="shared" si="10"/>
        <v>0.78556000000000004</v>
      </c>
      <c r="D67">
        <f t="shared" si="11"/>
        <v>1.8106828249910891</v>
      </c>
      <c r="E67" t="str">
        <f t="shared" si="12"/>
        <v>heart2</v>
      </c>
      <c r="F67" t="s">
        <v>13</v>
      </c>
      <c r="G67">
        <f>_xlfn.XLOOKUP(E67,Sequences,Sequences!$C$2:$C$11)</f>
        <v>2.4636</v>
      </c>
      <c r="H67" t="str">
        <f t="shared" si="7"/>
        <v>Yes</v>
      </c>
      <c r="I67" s="10">
        <f>_xlfn.XLOOKUP(E67,Sequences!$A$2:$A$11,Sequences!$B$2:$B$11)</f>
        <v>0.27889999999999998</v>
      </c>
      <c r="J67" t="str">
        <f t="shared" si="13"/>
        <v>Yes</v>
      </c>
      <c r="K67" s="6" t="s">
        <v>32</v>
      </c>
    </row>
    <row r="68" spans="1:11" x14ac:dyDescent="0.55000000000000004">
      <c r="A68" s="8">
        <f t="shared" ref="A68:A99" si="14">_xlfn.NUMBERVALUE(_xlfn.TEXTBEFORE(_xlfn.TEXTAFTER(K68,"penalty: "), " bits"))</f>
        <v>1188.9880000000001</v>
      </c>
      <c r="B68" s="5">
        <f t="shared" ref="B68:B99" si="15">_xlfn.NUMBERVALUE(_xlfn.TEXTBEFORE(_xlfn.TEXTAFTER(K68,"bits (")," bits"))</f>
        <v>1.3210999999999999</v>
      </c>
      <c r="C68" s="7">
        <f t="shared" ref="C68:C99" si="16">_xlfn.NUMBERVALUE(_xlfn.TEXTBEFORE(_xlfn.TEXTAFTER(K68,"predicted "),"% of")/100)</f>
        <v>0.72889000000000004</v>
      </c>
      <c r="D68">
        <f t="shared" ref="D68:D99" si="17">B68/C68</f>
        <v>1.8124819931676932</v>
      </c>
      <c r="E68" t="str">
        <f t="shared" ref="E68:E99" si="18">_xlfn.TEXTBEFORE(_xlfn.TEXTAFTER(K68,"in sequence_"),"_")</f>
        <v>heart2</v>
      </c>
      <c r="F68" t="s">
        <v>95</v>
      </c>
      <c r="G68">
        <f>_xlfn.XLOOKUP(E68,Sequences,Sequences!$C$2:$C$11)</f>
        <v>2.4636</v>
      </c>
      <c r="H68" t="str">
        <f t="shared" si="7"/>
        <v>Yes</v>
      </c>
      <c r="I68" s="10">
        <f>_xlfn.XLOOKUP(E68,Sequences!$A$2:$A$11,Sequences!$B$2:$B$11)</f>
        <v>0.27889999999999998</v>
      </c>
      <c r="J68" t="str">
        <f t="shared" ref="J68:J99" si="19">IF(C68&gt;I68, "Yes", "No")</f>
        <v>Yes</v>
      </c>
      <c r="K68" s="6" t="s">
        <v>105</v>
      </c>
    </row>
    <row r="69" spans="1:11" x14ac:dyDescent="0.55000000000000004">
      <c r="A69" s="8">
        <f t="shared" si="14"/>
        <v>1353.373</v>
      </c>
      <c r="B69" s="5">
        <f t="shared" si="15"/>
        <v>1.5037</v>
      </c>
      <c r="C69" s="7">
        <f t="shared" si="16"/>
        <v>0.72889000000000004</v>
      </c>
      <c r="D69">
        <f t="shared" si="17"/>
        <v>2.0629999039635609</v>
      </c>
      <c r="E69" t="str">
        <f t="shared" si="18"/>
        <v>heart2</v>
      </c>
      <c r="F69" t="s">
        <v>95</v>
      </c>
      <c r="G69">
        <f>_xlfn.XLOOKUP(E69,Sequences,Sequences!$C$2:$C$11)</f>
        <v>2.4636</v>
      </c>
      <c r="H69" t="str">
        <f t="shared" si="7"/>
        <v>Yes</v>
      </c>
      <c r="I69" s="10">
        <f>_xlfn.XLOOKUP(E69,Sequences!$A$2:$A$11,Sequences!$B$2:$B$11)</f>
        <v>0.27889999999999998</v>
      </c>
      <c r="J69" t="str">
        <f t="shared" si="19"/>
        <v>Yes</v>
      </c>
      <c r="K69" s="6" t="s">
        <v>107</v>
      </c>
    </row>
    <row r="70" spans="1:11" x14ac:dyDescent="0.55000000000000004">
      <c r="A70" s="8">
        <f t="shared" si="14"/>
        <v>1419.8810000000001</v>
      </c>
      <c r="B70" s="5">
        <f t="shared" si="15"/>
        <v>1.5775999999999999</v>
      </c>
      <c r="C70" s="7">
        <f t="shared" si="16"/>
        <v>0.73</v>
      </c>
      <c r="D70">
        <f t="shared" si="17"/>
        <v>2.1610958904109587</v>
      </c>
      <c r="E70" t="str">
        <f t="shared" si="18"/>
        <v>heart2</v>
      </c>
      <c r="F70" t="s">
        <v>95</v>
      </c>
      <c r="G70">
        <f>_xlfn.XLOOKUP(E70,Sequences,Sequences!$C$2:$C$11)</f>
        <v>2.4636</v>
      </c>
      <c r="H70" t="str">
        <f t="shared" si="7"/>
        <v>Yes</v>
      </c>
      <c r="I70" s="10">
        <f>_xlfn.XLOOKUP(E70,Sequences!$A$2:$A$11,Sequences!$B$2:$B$11)</f>
        <v>0.27889999999999998</v>
      </c>
      <c r="J70" t="str">
        <f t="shared" si="19"/>
        <v>Yes</v>
      </c>
      <c r="K70" s="6" t="s">
        <v>109</v>
      </c>
    </row>
    <row r="71" spans="1:11" x14ac:dyDescent="0.55000000000000004">
      <c r="A71" s="8">
        <f t="shared" si="14"/>
        <v>1541.8119999999999</v>
      </c>
      <c r="B71" s="5">
        <f t="shared" si="15"/>
        <v>1.7131000000000001</v>
      </c>
      <c r="C71" s="7">
        <f t="shared" si="16"/>
        <v>0.72777999999999998</v>
      </c>
      <c r="D71">
        <f t="shared" si="17"/>
        <v>2.3538706752040452</v>
      </c>
      <c r="E71" t="str">
        <f t="shared" si="18"/>
        <v>heart2</v>
      </c>
      <c r="F71" t="s">
        <v>95</v>
      </c>
      <c r="G71">
        <f>_xlfn.XLOOKUP(E71,Sequences,Sequences!$C$2:$C$11)</f>
        <v>2.4636</v>
      </c>
      <c r="H71" t="str">
        <f t="shared" si="7"/>
        <v>Yes</v>
      </c>
      <c r="I71" s="10">
        <f>_xlfn.XLOOKUP(E71,Sequences!$A$2:$A$11,Sequences!$B$2:$B$11)</f>
        <v>0.27889999999999998</v>
      </c>
      <c r="J71" t="str">
        <f t="shared" si="19"/>
        <v>Yes</v>
      </c>
      <c r="K71" s="6" t="s">
        <v>110</v>
      </c>
    </row>
    <row r="72" spans="1:11" x14ac:dyDescent="0.55000000000000004">
      <c r="A72" s="8">
        <f t="shared" si="14"/>
        <v>1682.8320000000001</v>
      </c>
      <c r="B72" s="5">
        <f t="shared" si="15"/>
        <v>1.8697999999999999</v>
      </c>
      <c r="C72" s="7">
        <f t="shared" si="16"/>
        <v>0.73</v>
      </c>
      <c r="D72">
        <f t="shared" si="17"/>
        <v>2.5613698630136987</v>
      </c>
      <c r="E72" t="str">
        <f t="shared" si="18"/>
        <v>heart2</v>
      </c>
      <c r="F72" t="s">
        <v>95</v>
      </c>
      <c r="G72">
        <f>_xlfn.XLOOKUP(E72,Sequences,Sequences!$C$2:$C$11)</f>
        <v>2.4636</v>
      </c>
      <c r="H72" t="str">
        <f t="shared" si="7"/>
        <v>Yes</v>
      </c>
      <c r="I72" s="10">
        <f>_xlfn.XLOOKUP(E72,Sequences!$A$2:$A$11,Sequences!$B$2:$B$11)</f>
        <v>0.27889999999999998</v>
      </c>
      <c r="J72" t="str">
        <f t="shared" si="19"/>
        <v>Yes</v>
      </c>
      <c r="K72" s="6" t="s">
        <v>111</v>
      </c>
    </row>
    <row r="73" spans="1:11" x14ac:dyDescent="0.55000000000000004">
      <c r="A73" s="8">
        <f t="shared" si="14"/>
        <v>1668.934</v>
      </c>
      <c r="B73" s="5">
        <f t="shared" si="15"/>
        <v>1.8544</v>
      </c>
      <c r="C73" s="7">
        <f t="shared" si="16"/>
        <v>0.72221999999999997</v>
      </c>
      <c r="D73">
        <f t="shared" si="17"/>
        <v>2.5676386696574451</v>
      </c>
      <c r="E73" t="str">
        <f t="shared" si="18"/>
        <v>heart2</v>
      </c>
      <c r="F73" t="s">
        <v>95</v>
      </c>
      <c r="G73">
        <f>_xlfn.XLOOKUP(E73,Sequences,Sequences!$C$2:$C$11)</f>
        <v>2.4636</v>
      </c>
      <c r="H73" t="str">
        <f t="shared" si="7"/>
        <v>Yes</v>
      </c>
      <c r="I73" s="10">
        <f>_xlfn.XLOOKUP(E73,Sequences!$A$2:$A$11,Sequences!$B$2:$B$11)</f>
        <v>0.27889999999999998</v>
      </c>
      <c r="J73" t="str">
        <f t="shared" si="19"/>
        <v>Yes</v>
      </c>
      <c r="K73" s="6" t="s">
        <v>112</v>
      </c>
    </row>
    <row r="74" spans="1:11" x14ac:dyDescent="0.55000000000000004">
      <c r="A74" s="8">
        <f t="shared" si="14"/>
        <v>1730.1410000000001</v>
      </c>
      <c r="B74" s="5">
        <f t="shared" si="15"/>
        <v>1.9224000000000001</v>
      </c>
      <c r="C74" s="7">
        <f t="shared" si="16"/>
        <v>0.69555999999999996</v>
      </c>
      <c r="D74">
        <f t="shared" si="17"/>
        <v>2.7638162056472484</v>
      </c>
      <c r="E74" t="str">
        <f t="shared" si="18"/>
        <v>heart2</v>
      </c>
      <c r="F74" t="s">
        <v>95</v>
      </c>
      <c r="G74">
        <f>_xlfn.XLOOKUP(E74,Sequences,Sequences!$C$2:$C$11)</f>
        <v>2.4636</v>
      </c>
      <c r="H74" t="str">
        <f t="shared" si="7"/>
        <v>Yes</v>
      </c>
      <c r="I74" s="10">
        <f>_xlfn.XLOOKUP(E74,Sequences!$A$2:$A$11,Sequences!$B$2:$B$11)</f>
        <v>0.27889999999999998</v>
      </c>
      <c r="J74" t="str">
        <f t="shared" si="19"/>
        <v>Yes</v>
      </c>
      <c r="K74" s="6" t="s">
        <v>113</v>
      </c>
    </row>
    <row r="75" spans="1:11" x14ac:dyDescent="0.55000000000000004">
      <c r="A75" s="8">
        <f t="shared" si="14"/>
        <v>1750.95</v>
      </c>
      <c r="B75" s="5">
        <f t="shared" si="15"/>
        <v>1.9455</v>
      </c>
      <c r="C75" s="7">
        <f t="shared" si="16"/>
        <v>0.59333000000000002</v>
      </c>
      <c r="D75">
        <f t="shared" si="17"/>
        <v>3.2789510053427264</v>
      </c>
      <c r="E75" t="str">
        <f t="shared" si="18"/>
        <v>heart2</v>
      </c>
      <c r="F75" t="s">
        <v>13</v>
      </c>
      <c r="G75">
        <f>_xlfn.XLOOKUP(E75,Sequences,Sequences!$C$2:$C$11)</f>
        <v>2.4636</v>
      </c>
      <c r="H75" t="str">
        <f t="shared" si="7"/>
        <v>Yes</v>
      </c>
      <c r="I75" s="10">
        <f>_xlfn.XLOOKUP(E75,Sequences!$A$2:$A$11,Sequences!$B$2:$B$11)</f>
        <v>0.27889999999999998</v>
      </c>
      <c r="J75" t="str">
        <f t="shared" si="19"/>
        <v>Yes</v>
      </c>
      <c r="K75" s="9" t="s">
        <v>45</v>
      </c>
    </row>
    <row r="76" spans="1:11" x14ac:dyDescent="0.55000000000000004">
      <c r="A76" s="8">
        <f t="shared" si="14"/>
        <v>2672.817</v>
      </c>
      <c r="B76" s="5">
        <f t="shared" si="15"/>
        <v>2.9698000000000002</v>
      </c>
      <c r="C76" s="7">
        <f t="shared" si="16"/>
        <v>0.81555999999999995</v>
      </c>
      <c r="D76">
        <f t="shared" si="17"/>
        <v>3.6414242974152735</v>
      </c>
      <c r="E76" t="str">
        <f t="shared" si="18"/>
        <v>heart2</v>
      </c>
      <c r="F76" t="s">
        <v>128</v>
      </c>
      <c r="G76">
        <f>_xlfn.XLOOKUP(E76,Sequences,Sequences!$C$2:$C$11)</f>
        <v>2.4636</v>
      </c>
      <c r="H76" t="str">
        <f t="shared" ref="H76:H109" si="20">IF(B76&lt;G76,"Yes","No")</f>
        <v>No</v>
      </c>
      <c r="I76" s="10">
        <f>_xlfn.XLOOKUP(E76,Sequences!$A$2:$A$11,Sequences!$B$2:$B$11)</f>
        <v>0.27889999999999998</v>
      </c>
      <c r="J76" t="str">
        <f t="shared" si="19"/>
        <v>Yes</v>
      </c>
      <c r="K76" s="6" t="s">
        <v>134</v>
      </c>
    </row>
    <row r="77" spans="1:11" x14ac:dyDescent="0.55000000000000004">
      <c r="A77" s="8">
        <f t="shared" si="14"/>
        <v>29146.080000000002</v>
      </c>
      <c r="B77" s="5">
        <f t="shared" si="15"/>
        <v>2.9146000000000001</v>
      </c>
      <c r="C77" s="7">
        <f t="shared" si="16"/>
        <v>0.17630000000000001</v>
      </c>
      <c r="D77">
        <f t="shared" si="17"/>
        <v>16.532047646057855</v>
      </c>
      <c r="E77" t="str">
        <f t="shared" si="18"/>
        <v>nonuniform</v>
      </c>
      <c r="F77" t="s">
        <v>128</v>
      </c>
      <c r="G77">
        <f>_xlfn.XLOOKUP(E77,Sequences,Sequences!$C$2:$C$11)</f>
        <v>2.6530999999999998</v>
      </c>
      <c r="H77" t="str">
        <f t="shared" si="20"/>
        <v>No</v>
      </c>
      <c r="I77" s="10">
        <f>_xlfn.XLOOKUP(E77,Sequences!$A$2:$A$11,Sequences!$B$2:$B$11)</f>
        <v>0.34549999999999997</v>
      </c>
      <c r="J77" t="str">
        <f t="shared" si="19"/>
        <v>No</v>
      </c>
      <c r="K77" s="6" t="s">
        <v>139</v>
      </c>
    </row>
    <row r="78" spans="1:11" x14ac:dyDescent="0.55000000000000004">
      <c r="A78" s="8">
        <f t="shared" si="14"/>
        <v>32034.809000000001</v>
      </c>
      <c r="B78" s="5">
        <f t="shared" si="15"/>
        <v>3.2035</v>
      </c>
      <c r="C78" s="7">
        <f t="shared" si="16"/>
        <v>0.1129</v>
      </c>
      <c r="D78">
        <f t="shared" si="17"/>
        <v>28.374667847652791</v>
      </c>
      <c r="E78" t="str">
        <f t="shared" si="18"/>
        <v>nonuniform</v>
      </c>
      <c r="F78" t="s">
        <v>13</v>
      </c>
      <c r="G78">
        <f>_xlfn.XLOOKUP(E78,Sequences,Sequences!$C$2:$C$11)</f>
        <v>2.6530999999999998</v>
      </c>
      <c r="H78" t="str">
        <f t="shared" si="20"/>
        <v>No</v>
      </c>
      <c r="I78" s="10">
        <f>_xlfn.XLOOKUP(E78,Sequences!$A$2:$A$11,Sequences!$B$2:$B$11)</f>
        <v>0.34549999999999997</v>
      </c>
      <c r="J78" t="str">
        <f t="shared" si="19"/>
        <v>No</v>
      </c>
      <c r="K78" s="9" t="s">
        <v>166</v>
      </c>
    </row>
    <row r="79" spans="1:11" x14ac:dyDescent="0.55000000000000004">
      <c r="A79" s="8">
        <f t="shared" si="14"/>
        <v>32561.620999999999</v>
      </c>
      <c r="B79" s="5">
        <f t="shared" si="15"/>
        <v>3.2562000000000002</v>
      </c>
      <c r="C79" s="7">
        <f t="shared" si="16"/>
        <v>2.1899999999999999E-2</v>
      </c>
      <c r="D79">
        <f t="shared" si="17"/>
        <v>148.68493150684932</v>
      </c>
      <c r="E79" t="str">
        <f t="shared" si="18"/>
        <v>nonuniform</v>
      </c>
      <c r="F79" t="s">
        <v>60</v>
      </c>
      <c r="G79">
        <f>_xlfn.XLOOKUP(E79,Sequences,Sequences!$C$2:$C$11)</f>
        <v>2.6530999999999998</v>
      </c>
      <c r="H79" t="str">
        <f t="shared" si="20"/>
        <v>No</v>
      </c>
      <c r="I79" s="10">
        <f>_xlfn.XLOOKUP(E79,Sequences!$A$2:$A$11,Sequences!$B$2:$B$11)</f>
        <v>0.34549999999999997</v>
      </c>
      <c r="J79" t="str">
        <f t="shared" si="19"/>
        <v>No</v>
      </c>
      <c r="K79" s="9" t="s">
        <v>90</v>
      </c>
    </row>
    <row r="80" spans="1:11" x14ac:dyDescent="0.55000000000000004">
      <c r="A80" s="8">
        <f t="shared" si="14"/>
        <v>32641.157999999999</v>
      </c>
      <c r="B80" s="5">
        <f t="shared" si="15"/>
        <v>3.2641</v>
      </c>
      <c r="C80" s="7">
        <f t="shared" si="16"/>
        <v>3.0300000000000001E-2</v>
      </c>
      <c r="D80">
        <f t="shared" si="17"/>
        <v>107.72607260726072</v>
      </c>
      <c r="E80" t="str">
        <f t="shared" si="18"/>
        <v>nonuniform</v>
      </c>
      <c r="F80" t="s">
        <v>95</v>
      </c>
      <c r="G80">
        <f>_xlfn.XLOOKUP(E80,Sequences,Sequences!$C$2:$C$11)</f>
        <v>2.6530999999999998</v>
      </c>
      <c r="H80" t="str">
        <f t="shared" si="20"/>
        <v>No</v>
      </c>
      <c r="I80" s="10">
        <f>_xlfn.XLOOKUP(E80,Sequences!$A$2:$A$11,Sequences!$B$2:$B$11)</f>
        <v>0.34549999999999997</v>
      </c>
      <c r="J80" t="str">
        <f t="shared" si="19"/>
        <v>No</v>
      </c>
      <c r="K80" s="9" t="s">
        <v>127</v>
      </c>
    </row>
    <row r="81" spans="1:11" x14ac:dyDescent="0.55000000000000004">
      <c r="A81" s="8">
        <f t="shared" si="14"/>
        <v>32774.135999999999</v>
      </c>
      <c r="B81" s="5">
        <f t="shared" si="15"/>
        <v>3.2774000000000001</v>
      </c>
      <c r="C81" s="7">
        <f t="shared" si="16"/>
        <v>2.0400000000000001E-2</v>
      </c>
      <c r="D81">
        <f t="shared" si="17"/>
        <v>160.65686274509804</v>
      </c>
      <c r="E81" t="str">
        <f t="shared" si="18"/>
        <v>nonuniform</v>
      </c>
      <c r="F81" t="s">
        <v>150</v>
      </c>
      <c r="G81">
        <f>_xlfn.XLOOKUP(E81,Sequences,Sequences!$C$2:$C$11)</f>
        <v>2.6530999999999998</v>
      </c>
      <c r="H81" t="str">
        <f t="shared" si="20"/>
        <v>No</v>
      </c>
      <c r="I81" s="10">
        <f>_xlfn.XLOOKUP(E81,Sequences!$A$2:$A$11,Sequences!$B$2:$B$11)</f>
        <v>0.34549999999999997</v>
      </c>
      <c r="J81" t="str">
        <f t="shared" si="19"/>
        <v>No</v>
      </c>
      <c r="K81" s="9" t="s">
        <v>156</v>
      </c>
    </row>
    <row r="82" spans="1:11" x14ac:dyDescent="0.55000000000000004">
      <c r="A82">
        <f t="shared" si="14"/>
        <v>34181.218999999997</v>
      </c>
      <c r="B82">
        <f t="shared" si="15"/>
        <v>3.4180999999999999</v>
      </c>
      <c r="C82" s="11">
        <f t="shared" si="16"/>
        <v>3.0300000000000001E-2</v>
      </c>
      <c r="D82">
        <f t="shared" si="17"/>
        <v>112.8085808580858</v>
      </c>
      <c r="E82" t="str">
        <f t="shared" si="18"/>
        <v>nonuniform</v>
      </c>
      <c r="F82" t="s">
        <v>13</v>
      </c>
      <c r="G82">
        <f>_xlfn.XLOOKUP(E82,Sequences,Sequences!$C$2:$C$11)</f>
        <v>2.6530999999999998</v>
      </c>
      <c r="H82" t="str">
        <f t="shared" si="20"/>
        <v>No</v>
      </c>
      <c r="I82" s="10">
        <f>_xlfn.XLOOKUP(E82,Sequences!$A$2:$A$11,Sequences!$B$2:$B$11)</f>
        <v>0.34549999999999997</v>
      </c>
      <c r="J82" t="str">
        <f t="shared" si="19"/>
        <v>No</v>
      </c>
      <c r="K82" s="6" t="s">
        <v>55</v>
      </c>
    </row>
    <row r="83" spans="1:11" x14ac:dyDescent="0.55000000000000004">
      <c r="A83">
        <f t="shared" si="14"/>
        <v>35463.711000000003</v>
      </c>
      <c r="B83">
        <f t="shared" si="15"/>
        <v>3.5464000000000002</v>
      </c>
      <c r="C83" s="11">
        <f t="shared" si="16"/>
        <v>3.1399999999999997E-2</v>
      </c>
      <c r="D83">
        <f t="shared" si="17"/>
        <v>112.94267515923569</v>
      </c>
      <c r="E83" t="str">
        <f t="shared" si="18"/>
        <v>nonuniform</v>
      </c>
      <c r="F83" t="s">
        <v>13</v>
      </c>
      <c r="G83">
        <f>_xlfn.XLOOKUP(E83,Sequences,Sequences!$C$2:$C$11)</f>
        <v>2.6530999999999998</v>
      </c>
      <c r="H83" t="str">
        <f t="shared" si="20"/>
        <v>No</v>
      </c>
      <c r="I83" s="10">
        <f>_xlfn.XLOOKUP(E83,Sequences!$A$2:$A$11,Sequences!$B$2:$B$11)</f>
        <v>0.34549999999999997</v>
      </c>
      <c r="J83" t="str">
        <f t="shared" si="19"/>
        <v>No</v>
      </c>
      <c r="K83" s="6" t="s">
        <v>56</v>
      </c>
    </row>
    <row r="84" spans="1:11" x14ac:dyDescent="0.55000000000000004">
      <c r="A84">
        <f t="shared" si="14"/>
        <v>38303.574000000001</v>
      </c>
      <c r="B84">
        <f t="shared" si="15"/>
        <v>3.8304</v>
      </c>
      <c r="C84" s="11">
        <f t="shared" si="16"/>
        <v>3.9199999999999999E-2</v>
      </c>
      <c r="D84">
        <f t="shared" si="17"/>
        <v>97.714285714285722</v>
      </c>
      <c r="E84" t="str">
        <f t="shared" si="18"/>
        <v>nonuniform</v>
      </c>
      <c r="F84" t="s">
        <v>13</v>
      </c>
      <c r="G84">
        <f>_xlfn.XLOOKUP(E84,Sequences,Sequences!$C$2:$C$11)</f>
        <v>2.6530999999999998</v>
      </c>
      <c r="H84" t="str">
        <f t="shared" si="20"/>
        <v>No</v>
      </c>
      <c r="I84" s="10">
        <f>_xlfn.XLOOKUP(E84,Sequences!$A$2:$A$11,Sequences!$B$2:$B$11)</f>
        <v>0.34549999999999997</v>
      </c>
      <c r="J84" t="str">
        <f t="shared" si="19"/>
        <v>No</v>
      </c>
      <c r="K84" s="6" t="s">
        <v>54</v>
      </c>
    </row>
    <row r="85" spans="1:11" x14ac:dyDescent="0.55000000000000004">
      <c r="A85">
        <f t="shared" si="14"/>
        <v>66471.383000000002</v>
      </c>
      <c r="B85">
        <f t="shared" si="15"/>
        <v>6.6471</v>
      </c>
      <c r="C85" s="11">
        <f t="shared" si="16"/>
        <v>4.8000000000000001E-2</v>
      </c>
      <c r="D85">
        <f t="shared" si="17"/>
        <v>138.48124999999999</v>
      </c>
      <c r="E85" t="str">
        <f t="shared" si="18"/>
        <v>nonuniform</v>
      </c>
      <c r="F85" t="s">
        <v>13</v>
      </c>
      <c r="G85">
        <f>_xlfn.XLOOKUP(E85,Sequences,Sequences!$C$2:$C$11)</f>
        <v>2.6530999999999998</v>
      </c>
      <c r="H85" t="str">
        <f t="shared" si="20"/>
        <v>No</v>
      </c>
      <c r="I85" s="10">
        <f>_xlfn.XLOOKUP(E85,Sequences!$A$2:$A$11,Sequences!$B$2:$B$11)</f>
        <v>0.34549999999999997</v>
      </c>
      <c r="J85" t="str">
        <f t="shared" si="19"/>
        <v>No</v>
      </c>
      <c r="K85" s="6" t="s">
        <v>57</v>
      </c>
    </row>
    <row r="86" spans="1:11" x14ac:dyDescent="0.55000000000000004">
      <c r="A86" s="8">
        <f t="shared" si="14"/>
        <v>33163.557000000001</v>
      </c>
      <c r="B86" s="5">
        <f t="shared" si="15"/>
        <v>3.3163999999999998</v>
      </c>
      <c r="C86" s="7">
        <f t="shared" si="16"/>
        <v>0.10730000000000001</v>
      </c>
      <c r="D86">
        <f t="shared" si="17"/>
        <v>30.907735321528421</v>
      </c>
      <c r="E86" t="str">
        <f t="shared" si="18"/>
        <v>selfadapt</v>
      </c>
      <c r="F86" t="s">
        <v>95</v>
      </c>
      <c r="G86">
        <f>_xlfn.XLOOKUP(E86,Sequences,Sequences!$C$2:$C$11)</f>
        <v>2.6471</v>
      </c>
      <c r="H86" t="str">
        <f t="shared" si="20"/>
        <v>No</v>
      </c>
      <c r="I86" s="10">
        <f>_xlfn.XLOOKUP(E86,Sequences!$A$2:$A$11,Sequences!$B$2:$B$11)</f>
        <v>0.36120000000000002</v>
      </c>
      <c r="J86" t="str">
        <f t="shared" si="19"/>
        <v>No</v>
      </c>
      <c r="K86" s="9" t="s">
        <v>123</v>
      </c>
    </row>
    <row r="87" spans="1:11" x14ac:dyDescent="0.55000000000000004">
      <c r="A87" s="8">
        <f t="shared" si="14"/>
        <v>36504.053999999996</v>
      </c>
      <c r="B87" s="5">
        <f t="shared" si="15"/>
        <v>3.6503999999999999</v>
      </c>
      <c r="C87" s="7">
        <f t="shared" si="16"/>
        <v>9.0499999999999997E-2</v>
      </c>
      <c r="D87">
        <f t="shared" si="17"/>
        <v>40.335911602209947</v>
      </c>
      <c r="E87" t="str">
        <f t="shared" si="18"/>
        <v>selfadapt</v>
      </c>
      <c r="F87" t="s">
        <v>128</v>
      </c>
      <c r="G87">
        <f>_xlfn.XLOOKUP(E87,Sequences,Sequences!$C$2:$C$11)</f>
        <v>2.6471</v>
      </c>
      <c r="H87" t="str">
        <f t="shared" si="20"/>
        <v>No</v>
      </c>
      <c r="I87" s="10">
        <f>_xlfn.XLOOKUP(E87,Sequences!$A$2:$A$11,Sequences!$B$2:$B$11)</f>
        <v>0.36120000000000002</v>
      </c>
      <c r="J87" t="str">
        <f t="shared" si="19"/>
        <v>No</v>
      </c>
      <c r="K87" s="6" t="s">
        <v>141</v>
      </c>
    </row>
    <row r="88" spans="1:11" x14ac:dyDescent="0.55000000000000004">
      <c r="A88" s="8">
        <f t="shared" si="14"/>
        <v>37715.040000000001</v>
      </c>
      <c r="B88" s="5">
        <f t="shared" si="15"/>
        <v>3.7715000000000001</v>
      </c>
      <c r="C88" s="7">
        <f t="shared" si="16"/>
        <v>0.10390000000000001</v>
      </c>
      <c r="D88">
        <f t="shared" si="17"/>
        <v>36.299326275264676</v>
      </c>
      <c r="E88" t="str">
        <f t="shared" si="18"/>
        <v>selfadapt</v>
      </c>
      <c r="F88" t="s">
        <v>150</v>
      </c>
      <c r="G88">
        <f>_xlfn.XLOOKUP(E88,Sequences,Sequences!$C$2:$C$11)</f>
        <v>2.6471</v>
      </c>
      <c r="H88" t="str">
        <f t="shared" si="20"/>
        <v>No</v>
      </c>
      <c r="I88" s="10">
        <f>_xlfn.XLOOKUP(E88,Sequences!$A$2:$A$11,Sequences!$B$2:$B$11)</f>
        <v>0.36120000000000002</v>
      </c>
      <c r="J88" t="str">
        <f t="shared" si="19"/>
        <v>No</v>
      </c>
      <c r="K88" s="9" t="s">
        <v>157</v>
      </c>
    </row>
    <row r="89" spans="1:11" x14ac:dyDescent="0.55000000000000004">
      <c r="A89">
        <f t="shared" si="14"/>
        <v>38680.597999999998</v>
      </c>
      <c r="B89">
        <f t="shared" si="15"/>
        <v>3.8681000000000001</v>
      </c>
      <c r="C89" s="11">
        <f t="shared" si="16"/>
        <v>0.10340000000000001</v>
      </c>
      <c r="D89">
        <f t="shared" si="17"/>
        <v>37.409090909090907</v>
      </c>
      <c r="E89" t="str">
        <f t="shared" si="18"/>
        <v>selfadapt</v>
      </c>
      <c r="F89" t="s">
        <v>13</v>
      </c>
      <c r="G89">
        <f>_xlfn.XLOOKUP(E89,Sequences,Sequences!$C$2:$C$11)</f>
        <v>2.6471</v>
      </c>
      <c r="H89" t="str">
        <f t="shared" si="20"/>
        <v>No</v>
      </c>
      <c r="I89" s="10">
        <f>_xlfn.XLOOKUP(E89,Sequences!$A$2:$A$11,Sequences!$B$2:$B$11)</f>
        <v>0.36120000000000002</v>
      </c>
      <c r="J89" t="str">
        <f t="shared" si="19"/>
        <v>No</v>
      </c>
      <c r="K89" s="9" t="s">
        <v>59</v>
      </c>
    </row>
    <row r="90" spans="1:11" x14ac:dyDescent="0.55000000000000004">
      <c r="A90" s="8">
        <f t="shared" si="14"/>
        <v>38863.163999999997</v>
      </c>
      <c r="B90" s="5">
        <f t="shared" si="15"/>
        <v>3.8862999999999999</v>
      </c>
      <c r="C90" s="7">
        <f t="shared" si="16"/>
        <v>0.10390000000000001</v>
      </c>
      <c r="D90">
        <f t="shared" si="17"/>
        <v>37.40423484119345</v>
      </c>
      <c r="E90" t="str">
        <f t="shared" si="18"/>
        <v>selfadapt</v>
      </c>
      <c r="F90" t="s">
        <v>60</v>
      </c>
      <c r="G90">
        <f>_xlfn.XLOOKUP(E90,Sequences,Sequences!$C$2:$C$11)</f>
        <v>2.6471</v>
      </c>
      <c r="H90" t="str">
        <f t="shared" si="20"/>
        <v>No</v>
      </c>
      <c r="I90" s="10">
        <f>_xlfn.XLOOKUP(E90,Sequences!$A$2:$A$11,Sequences!$B$2:$B$11)</f>
        <v>0.36120000000000002</v>
      </c>
      <c r="J90" t="str">
        <f t="shared" si="19"/>
        <v>No</v>
      </c>
      <c r="K90" s="9" t="s">
        <v>92</v>
      </c>
    </row>
    <row r="91" spans="1:11" x14ac:dyDescent="0.55000000000000004">
      <c r="A91" s="8">
        <f t="shared" si="14"/>
        <v>39027.222000000002</v>
      </c>
      <c r="B91" s="5">
        <f t="shared" si="15"/>
        <v>3.9026999999999998</v>
      </c>
      <c r="C91" s="7">
        <f t="shared" si="16"/>
        <v>8.7999999999999995E-2</v>
      </c>
      <c r="D91">
        <f t="shared" si="17"/>
        <v>44.348863636363639</v>
      </c>
      <c r="E91" t="str">
        <f t="shared" si="18"/>
        <v>selfadapt</v>
      </c>
      <c r="F91" t="s">
        <v>95</v>
      </c>
      <c r="G91">
        <f>_xlfn.XLOOKUP(E91,Sequences,Sequences!$C$2:$C$11)</f>
        <v>2.6471</v>
      </c>
      <c r="H91" t="str">
        <f t="shared" si="20"/>
        <v>No</v>
      </c>
      <c r="I91" s="10">
        <f>_xlfn.XLOOKUP(E91,Sequences!$A$2:$A$11,Sequences!$B$2:$B$11)</f>
        <v>0.36120000000000002</v>
      </c>
      <c r="J91" t="str">
        <f t="shared" si="19"/>
        <v>No</v>
      </c>
      <c r="K91" s="9" t="s">
        <v>125</v>
      </c>
    </row>
    <row r="92" spans="1:11" x14ac:dyDescent="0.55000000000000004">
      <c r="A92" s="8">
        <f t="shared" si="14"/>
        <v>57520.485000000001</v>
      </c>
      <c r="B92" s="5">
        <f t="shared" si="15"/>
        <v>5.7519999999999998</v>
      </c>
      <c r="C92" s="7">
        <f t="shared" si="16"/>
        <v>0.1394</v>
      </c>
      <c r="D92">
        <f t="shared" si="17"/>
        <v>41.262553802008611</v>
      </c>
      <c r="E92" t="str">
        <f t="shared" si="18"/>
        <v>selfadapt</v>
      </c>
      <c r="F92" t="s">
        <v>95</v>
      </c>
      <c r="G92">
        <f>_xlfn.XLOOKUP(E92,Sequences,Sequences!$C$2:$C$11)</f>
        <v>2.6471</v>
      </c>
      <c r="H92" t="str">
        <f t="shared" si="20"/>
        <v>No</v>
      </c>
      <c r="I92" s="10">
        <f>_xlfn.XLOOKUP(E92,Sequences!$A$2:$A$11,Sequences!$B$2:$B$11)</f>
        <v>0.36120000000000002</v>
      </c>
      <c r="J92" t="str">
        <f t="shared" si="19"/>
        <v>No</v>
      </c>
      <c r="K92" s="9" t="s">
        <v>124</v>
      </c>
    </row>
    <row r="93" spans="1:11" x14ac:dyDescent="0.55000000000000004">
      <c r="A93" s="8">
        <f t="shared" si="14"/>
        <v>712.35400000000004</v>
      </c>
      <c r="B93" s="5">
        <f t="shared" si="15"/>
        <v>0.74829999999999997</v>
      </c>
      <c r="C93" s="7">
        <f t="shared" si="16"/>
        <v>0.85714000000000001</v>
      </c>
      <c r="D93">
        <f t="shared" si="17"/>
        <v>0.87301957673192243</v>
      </c>
      <c r="E93" t="str">
        <f t="shared" si="18"/>
        <v>solarWind</v>
      </c>
      <c r="F93" t="s">
        <v>60</v>
      </c>
      <c r="G93">
        <f>_xlfn.XLOOKUP(E93,Sequences,Sequences!$C$2:$C$11)</f>
        <v>1.9595</v>
      </c>
      <c r="H93" t="str">
        <f t="shared" si="20"/>
        <v>Yes</v>
      </c>
      <c r="I93" s="10">
        <f>_xlfn.XLOOKUP(E93,Sequences!$A$2:$A$11,Sequences!$B$2:$B$11)</f>
        <v>0.4758</v>
      </c>
      <c r="J93" t="str">
        <f t="shared" si="19"/>
        <v>Yes</v>
      </c>
      <c r="K93" s="9" t="s">
        <v>64</v>
      </c>
    </row>
    <row r="94" spans="1:11" x14ac:dyDescent="0.55000000000000004">
      <c r="A94" s="8">
        <f t="shared" si="14"/>
        <v>712.35699999999997</v>
      </c>
      <c r="B94" s="5">
        <f t="shared" si="15"/>
        <v>0.74829999999999997</v>
      </c>
      <c r="C94" s="7">
        <f t="shared" si="16"/>
        <v>0.85714000000000001</v>
      </c>
      <c r="D94">
        <f t="shared" si="17"/>
        <v>0.87301957673192243</v>
      </c>
      <c r="E94" t="str">
        <f t="shared" si="18"/>
        <v>solarWind</v>
      </c>
      <c r="F94" t="s">
        <v>60</v>
      </c>
      <c r="G94">
        <f>_xlfn.XLOOKUP(E94,Sequences,Sequences!$C$2:$C$11)</f>
        <v>1.9595</v>
      </c>
      <c r="H94" t="str">
        <f t="shared" si="20"/>
        <v>Yes</v>
      </c>
      <c r="I94" s="10">
        <f>_xlfn.XLOOKUP(E94,Sequences!$A$2:$A$11,Sequences!$B$2:$B$11)</f>
        <v>0.4758</v>
      </c>
      <c r="J94" t="str">
        <f t="shared" si="19"/>
        <v>Yes</v>
      </c>
      <c r="K94" s="9" t="s">
        <v>68</v>
      </c>
    </row>
    <row r="95" spans="1:11" x14ac:dyDescent="0.55000000000000004">
      <c r="A95" s="8">
        <f t="shared" si="14"/>
        <v>843.07299999999998</v>
      </c>
      <c r="B95" s="5">
        <f t="shared" si="15"/>
        <v>0.88560000000000005</v>
      </c>
      <c r="C95" s="7">
        <f t="shared" si="16"/>
        <v>0.85609000000000002</v>
      </c>
      <c r="D95">
        <f t="shared" si="17"/>
        <v>1.0344706748122277</v>
      </c>
      <c r="E95" t="str">
        <f t="shared" si="18"/>
        <v>solarWind</v>
      </c>
      <c r="F95" t="s">
        <v>13</v>
      </c>
      <c r="G95">
        <f>_xlfn.XLOOKUP(E95,Sequences,Sequences!$C$2:$C$11)</f>
        <v>1.9595</v>
      </c>
      <c r="H95" t="str">
        <f t="shared" si="20"/>
        <v>Yes</v>
      </c>
      <c r="I95" s="10">
        <f>_xlfn.XLOOKUP(E95,Sequences!$A$2:$A$11,Sequences!$B$2:$B$11)</f>
        <v>0.4758</v>
      </c>
      <c r="J95" t="str">
        <f t="shared" si="19"/>
        <v>Yes</v>
      </c>
      <c r="K95" s="6" t="s">
        <v>25</v>
      </c>
    </row>
    <row r="96" spans="1:11" x14ac:dyDescent="0.55000000000000004">
      <c r="A96" s="8">
        <f t="shared" si="14"/>
        <v>886.32899999999995</v>
      </c>
      <c r="B96" s="5">
        <f t="shared" si="15"/>
        <v>0.93100000000000005</v>
      </c>
      <c r="C96" s="7">
        <f t="shared" si="16"/>
        <v>0.85714000000000001</v>
      </c>
      <c r="D96">
        <f t="shared" si="17"/>
        <v>1.0861702872342909</v>
      </c>
      <c r="E96" t="str">
        <f t="shared" si="18"/>
        <v>solarWind</v>
      </c>
      <c r="F96" t="s">
        <v>150</v>
      </c>
      <c r="G96">
        <f>_xlfn.XLOOKUP(E96,Sequences,Sequences!$C$2:$C$11)</f>
        <v>1.9595</v>
      </c>
      <c r="H96" t="str">
        <f t="shared" si="20"/>
        <v>Yes</v>
      </c>
      <c r="I96" s="10">
        <f>_xlfn.XLOOKUP(E96,Sequences!$A$2:$A$11,Sequences!$B$2:$B$11)</f>
        <v>0.4758</v>
      </c>
      <c r="J96" t="str">
        <f t="shared" si="19"/>
        <v>Yes</v>
      </c>
      <c r="K96" s="9" t="s">
        <v>158</v>
      </c>
    </row>
    <row r="97" spans="1:11" x14ac:dyDescent="0.55000000000000004">
      <c r="A97" s="8">
        <f t="shared" si="14"/>
        <v>854.60299999999995</v>
      </c>
      <c r="B97" s="5">
        <f t="shared" si="15"/>
        <v>0.89770000000000005</v>
      </c>
      <c r="C97" s="7">
        <f t="shared" si="16"/>
        <v>0.76049999999999995</v>
      </c>
      <c r="D97">
        <f t="shared" si="17"/>
        <v>1.1804076265614729</v>
      </c>
      <c r="E97" t="str">
        <f t="shared" si="18"/>
        <v>solarWind</v>
      </c>
      <c r="F97" t="s">
        <v>60</v>
      </c>
      <c r="G97">
        <f>_xlfn.XLOOKUP(E97,Sequences,Sequences!$C$2:$C$11)</f>
        <v>1.9595</v>
      </c>
      <c r="H97" t="str">
        <f t="shared" si="20"/>
        <v>Yes</v>
      </c>
      <c r="I97" s="10">
        <f>_xlfn.XLOOKUP(E97,Sequences!$A$2:$A$11,Sequences!$B$2:$B$11)</f>
        <v>0.4758</v>
      </c>
      <c r="J97" t="str">
        <f t="shared" si="19"/>
        <v>Yes</v>
      </c>
      <c r="K97" s="9" t="s">
        <v>77</v>
      </c>
    </row>
    <row r="98" spans="1:11" x14ac:dyDescent="0.55000000000000004">
      <c r="A98" s="8">
        <f t="shared" si="14"/>
        <v>951.06399999999996</v>
      </c>
      <c r="B98" s="5">
        <f t="shared" si="15"/>
        <v>0.999</v>
      </c>
      <c r="C98" s="7">
        <f t="shared" si="16"/>
        <v>0.79096999999999995</v>
      </c>
      <c r="D98">
        <f t="shared" si="17"/>
        <v>1.263006182282514</v>
      </c>
      <c r="E98" t="str">
        <f t="shared" si="18"/>
        <v>solarWind</v>
      </c>
      <c r="F98" t="s">
        <v>95</v>
      </c>
      <c r="G98">
        <f>_xlfn.XLOOKUP(E98,Sequences,Sequences!$C$2:$C$11)</f>
        <v>1.9595</v>
      </c>
      <c r="H98" t="str">
        <f t="shared" si="20"/>
        <v>Yes</v>
      </c>
      <c r="I98" s="10">
        <f>_xlfn.XLOOKUP(E98,Sequences!$A$2:$A$11,Sequences!$B$2:$B$11)</f>
        <v>0.4758</v>
      </c>
      <c r="J98" t="str">
        <f t="shared" si="19"/>
        <v>Yes</v>
      </c>
      <c r="K98" s="6" t="s">
        <v>99</v>
      </c>
    </row>
    <row r="99" spans="1:11" x14ac:dyDescent="0.55000000000000004">
      <c r="A99" s="8">
        <f t="shared" si="14"/>
        <v>1004.174</v>
      </c>
      <c r="B99" s="5">
        <f t="shared" si="15"/>
        <v>1.0548</v>
      </c>
      <c r="C99" s="7">
        <f t="shared" si="16"/>
        <v>0.83508000000000004</v>
      </c>
      <c r="D99">
        <f t="shared" si="17"/>
        <v>1.2631125161661156</v>
      </c>
      <c r="E99" t="str">
        <f t="shared" si="18"/>
        <v>solarWind</v>
      </c>
      <c r="F99" t="s">
        <v>13</v>
      </c>
      <c r="G99">
        <f>_xlfn.XLOOKUP(E99,Sequences,Sequences!$C$2:$C$11)</f>
        <v>1.9595</v>
      </c>
      <c r="H99" t="str">
        <f t="shared" si="20"/>
        <v>Yes</v>
      </c>
      <c r="I99" s="10">
        <f>_xlfn.XLOOKUP(E99,Sequences!$A$2:$A$11,Sequences!$B$2:$B$11)</f>
        <v>0.4758</v>
      </c>
      <c r="J99" t="str">
        <f t="shared" si="19"/>
        <v>Yes</v>
      </c>
      <c r="K99" s="6" t="s">
        <v>26</v>
      </c>
    </row>
    <row r="100" spans="1:11" x14ac:dyDescent="0.55000000000000004">
      <c r="A100" s="8">
        <f t="shared" ref="A100:A109" si="21">_xlfn.NUMBERVALUE(_xlfn.TEXTBEFORE(_xlfn.TEXTAFTER(K100,"penalty: "), " bits"))</f>
        <v>1056.3889999999999</v>
      </c>
      <c r="B100" s="5">
        <f t="shared" ref="B100:B109" si="22">_xlfn.NUMBERVALUE(_xlfn.TEXTBEFORE(_xlfn.TEXTAFTER(K100,"bits (")," bits"))</f>
        <v>1.1096999999999999</v>
      </c>
      <c r="C100" s="7">
        <f t="shared" ref="C100:C109" si="23">_xlfn.NUMBERVALUE(_xlfn.TEXTBEFORE(_xlfn.TEXTAFTER(K100,"predicted "),"% of")/100)</f>
        <v>0.83403000000000005</v>
      </c>
      <c r="D100">
        <f t="shared" ref="D100:D109" si="24">B100/C100</f>
        <v>1.3305276788604725</v>
      </c>
      <c r="E100" t="str">
        <f t="shared" ref="E100:E109" si="25">_xlfn.TEXTBEFORE(_xlfn.TEXTAFTER(K100,"in sequence_"),"_")</f>
        <v>solarWind</v>
      </c>
      <c r="F100" t="s">
        <v>13</v>
      </c>
      <c r="G100">
        <f>_xlfn.XLOOKUP(E100,Sequences,Sequences!$C$2:$C$11)</f>
        <v>1.9595</v>
      </c>
      <c r="H100" t="str">
        <f t="shared" si="20"/>
        <v>Yes</v>
      </c>
      <c r="I100" s="10">
        <f>_xlfn.XLOOKUP(E100,Sequences!$A$2:$A$11,Sequences!$B$2:$B$11)</f>
        <v>0.4758</v>
      </c>
      <c r="J100" t="str">
        <f t="shared" ref="J100:J109" si="26">IF(C100&gt;I100, "Yes", "No")</f>
        <v>Yes</v>
      </c>
      <c r="K100" s="6" t="s">
        <v>28</v>
      </c>
    </row>
    <row r="101" spans="1:11" x14ac:dyDescent="0.55000000000000004">
      <c r="A101" s="8">
        <f t="shared" si="21"/>
        <v>2193.645</v>
      </c>
      <c r="B101" s="5">
        <f t="shared" si="22"/>
        <v>2.3041999999999998</v>
      </c>
      <c r="C101" s="7">
        <f t="shared" si="23"/>
        <v>0.85714000000000001</v>
      </c>
      <c r="D101">
        <f t="shared" si="24"/>
        <v>2.6882422941409803</v>
      </c>
      <c r="E101" t="str">
        <f t="shared" si="25"/>
        <v>solarWind</v>
      </c>
      <c r="F101" t="s">
        <v>128</v>
      </c>
      <c r="G101">
        <f>_xlfn.XLOOKUP(E101,Sequences,Sequences!$C$2:$C$11)</f>
        <v>1.9595</v>
      </c>
      <c r="H101" t="str">
        <f t="shared" si="20"/>
        <v>No</v>
      </c>
      <c r="I101" s="10">
        <f>_xlfn.XLOOKUP(E101,Sequences!$A$2:$A$11,Sequences!$B$2:$B$11)</f>
        <v>0.4758</v>
      </c>
      <c r="J101" t="str">
        <f t="shared" si="26"/>
        <v>Yes</v>
      </c>
      <c r="K101" s="6" t="s">
        <v>132</v>
      </c>
    </row>
    <row r="102" spans="1:11" x14ac:dyDescent="0.55000000000000004">
      <c r="A102" s="8">
        <f t="shared" si="21"/>
        <v>31705.641</v>
      </c>
      <c r="B102" s="5">
        <f t="shared" si="22"/>
        <v>3.1705999999999999</v>
      </c>
      <c r="C102" s="7">
        <f t="shared" si="23"/>
        <v>0.1147</v>
      </c>
      <c r="D102">
        <f t="shared" si="24"/>
        <v>27.642545771578028</v>
      </c>
      <c r="E102" t="str">
        <f t="shared" si="25"/>
        <v>uniform</v>
      </c>
      <c r="F102" t="s">
        <v>150</v>
      </c>
      <c r="G102">
        <f>_xlfn.XLOOKUP(E102,Sequences,Sequences!$C$2:$C$11)</f>
        <v>3.1688000000000001</v>
      </c>
      <c r="H102" t="str">
        <f t="shared" si="20"/>
        <v>No</v>
      </c>
      <c r="I102" s="10">
        <f>_xlfn.XLOOKUP(E102,Sequences!$A$2:$A$11,Sequences!$B$2:$B$11)</f>
        <v>0.1217</v>
      </c>
      <c r="J102" t="str">
        <f t="shared" si="26"/>
        <v>No</v>
      </c>
      <c r="K102" s="9" t="s">
        <v>159</v>
      </c>
    </row>
    <row r="103" spans="1:11" x14ac:dyDescent="0.55000000000000004">
      <c r="A103" s="8">
        <f t="shared" si="21"/>
        <v>31763.324000000001</v>
      </c>
      <c r="B103" s="5">
        <f t="shared" si="22"/>
        <v>3.1762999999999999</v>
      </c>
      <c r="C103" s="11">
        <f t="shared" si="23"/>
        <v>0.11459999999999999</v>
      </c>
      <c r="D103">
        <f t="shared" si="24"/>
        <v>27.716404886561957</v>
      </c>
      <c r="E103" t="str">
        <f t="shared" si="25"/>
        <v>uniform</v>
      </c>
      <c r="F103" t="s">
        <v>60</v>
      </c>
      <c r="G103">
        <f>_xlfn.XLOOKUP(E103,Sequences,Sequences!$C$2:$C$11)</f>
        <v>3.1688000000000001</v>
      </c>
      <c r="H103" t="str">
        <f t="shared" si="20"/>
        <v>No</v>
      </c>
      <c r="I103" s="10">
        <f>_xlfn.XLOOKUP(E103,Sequences!$A$2:$A$11,Sequences!$B$2:$B$11)</f>
        <v>0.1217</v>
      </c>
      <c r="J103" t="str">
        <f t="shared" si="26"/>
        <v>No</v>
      </c>
      <c r="K103" s="6" t="s">
        <v>89</v>
      </c>
    </row>
    <row r="104" spans="1:11" x14ac:dyDescent="0.55000000000000004">
      <c r="A104">
        <f t="shared" si="21"/>
        <v>31850.853999999999</v>
      </c>
      <c r="B104">
        <f t="shared" si="22"/>
        <v>3.1850999999999998</v>
      </c>
      <c r="C104" s="11">
        <f t="shared" si="23"/>
        <v>0.1135</v>
      </c>
      <c r="D104">
        <f t="shared" si="24"/>
        <v>28.062555066079291</v>
      </c>
      <c r="E104" t="str">
        <f t="shared" si="25"/>
        <v>uniform</v>
      </c>
      <c r="F104" t="s">
        <v>13</v>
      </c>
      <c r="G104">
        <f>_xlfn.XLOOKUP(E104,Sequences,Sequences!$C$2:$C$11)</f>
        <v>3.1688000000000001</v>
      </c>
      <c r="H104" t="str">
        <f t="shared" si="20"/>
        <v>No</v>
      </c>
      <c r="I104" s="10">
        <f>_xlfn.XLOOKUP(E104,Sequences!$A$2:$A$11,Sequences!$B$2:$B$11)</f>
        <v>0.1217</v>
      </c>
      <c r="J104" t="str">
        <f t="shared" si="26"/>
        <v>No</v>
      </c>
      <c r="K104" s="6" t="s">
        <v>50</v>
      </c>
    </row>
    <row r="105" spans="1:11" x14ac:dyDescent="0.55000000000000004">
      <c r="A105">
        <f t="shared" si="21"/>
        <v>32469.059000000001</v>
      </c>
      <c r="B105">
        <f t="shared" si="22"/>
        <v>3.2469000000000001</v>
      </c>
      <c r="C105" s="11">
        <f t="shared" si="23"/>
        <v>0.1147</v>
      </c>
      <c r="D105">
        <f t="shared" si="24"/>
        <v>28.307759372275502</v>
      </c>
      <c r="E105" t="str">
        <f t="shared" si="25"/>
        <v>uniform</v>
      </c>
      <c r="F105" t="s">
        <v>13</v>
      </c>
      <c r="G105">
        <f>_xlfn.XLOOKUP(E105,Sequences,Sequences!$C$2:$C$11)</f>
        <v>3.1688000000000001</v>
      </c>
      <c r="H105" t="str">
        <f t="shared" si="20"/>
        <v>No</v>
      </c>
      <c r="I105" s="10">
        <f>_xlfn.XLOOKUP(E105,Sequences!$A$2:$A$11,Sequences!$B$2:$B$11)</f>
        <v>0.1217</v>
      </c>
      <c r="J105" t="str">
        <f t="shared" si="26"/>
        <v>No</v>
      </c>
      <c r="K105" s="6" t="s">
        <v>51</v>
      </c>
    </row>
    <row r="106" spans="1:11" x14ac:dyDescent="0.55000000000000004">
      <c r="A106">
        <f t="shared" si="21"/>
        <v>32246.17</v>
      </c>
      <c r="B106">
        <f t="shared" si="22"/>
        <v>3.2246000000000001</v>
      </c>
      <c r="C106" s="11">
        <f t="shared" si="23"/>
        <v>0.1139</v>
      </c>
      <c r="D106">
        <f t="shared" si="24"/>
        <v>28.310798946444251</v>
      </c>
      <c r="E106" t="str">
        <f t="shared" si="25"/>
        <v>Uniform</v>
      </c>
      <c r="F106" t="s">
        <v>13</v>
      </c>
      <c r="G106">
        <f>_xlfn.XLOOKUP(E106,Sequences,Sequences!$C$2:$C$11)</f>
        <v>3.1688000000000001</v>
      </c>
      <c r="H106" t="str">
        <f t="shared" si="20"/>
        <v>No</v>
      </c>
      <c r="I106" s="10">
        <f>_xlfn.XLOOKUP(E106,Sequences!$A$2:$A$11,Sequences!$B$2:$B$11)</f>
        <v>0.1217</v>
      </c>
      <c r="J106" t="str">
        <f t="shared" si="26"/>
        <v>No</v>
      </c>
      <c r="K106" s="6" t="s">
        <v>52</v>
      </c>
    </row>
    <row r="107" spans="1:11" x14ac:dyDescent="0.55000000000000004">
      <c r="A107" s="8">
        <f t="shared" si="21"/>
        <v>32117.952000000001</v>
      </c>
      <c r="B107" s="5">
        <f t="shared" si="22"/>
        <v>3.2118000000000002</v>
      </c>
      <c r="C107" s="7">
        <f t="shared" si="23"/>
        <v>0.1116</v>
      </c>
      <c r="D107">
        <f t="shared" si="24"/>
        <v>28.77956989247312</v>
      </c>
      <c r="E107" t="str">
        <f t="shared" si="25"/>
        <v>uniform</v>
      </c>
      <c r="F107" t="s">
        <v>95</v>
      </c>
      <c r="G107">
        <f>_xlfn.XLOOKUP(E107,Sequences,Sequences!$C$2:$C$11)</f>
        <v>3.1688000000000001</v>
      </c>
      <c r="H107" t="str">
        <f t="shared" si="20"/>
        <v>No</v>
      </c>
      <c r="I107" s="10">
        <f>_xlfn.XLOOKUP(E107,Sequences!$A$2:$A$11,Sequences!$B$2:$B$11)</f>
        <v>0.1217</v>
      </c>
      <c r="J107" t="str">
        <f t="shared" si="26"/>
        <v>No</v>
      </c>
      <c r="K107" s="9" t="s">
        <v>122</v>
      </c>
    </row>
    <row r="108" spans="1:11" x14ac:dyDescent="0.55000000000000004">
      <c r="A108">
        <f t="shared" si="21"/>
        <v>32040.548999999999</v>
      </c>
      <c r="B108">
        <f t="shared" si="22"/>
        <v>3.2040999999999999</v>
      </c>
      <c r="C108" s="11">
        <f t="shared" si="23"/>
        <v>0.1095</v>
      </c>
      <c r="D108">
        <f t="shared" si="24"/>
        <v>29.261187214611873</v>
      </c>
      <c r="E108" t="str">
        <f t="shared" si="25"/>
        <v>uniform</v>
      </c>
      <c r="F108" t="s">
        <v>13</v>
      </c>
      <c r="G108">
        <f>_xlfn.XLOOKUP(E108,Sequences,Sequences!$C$2:$C$11)</f>
        <v>3.1688000000000001</v>
      </c>
      <c r="H108" t="str">
        <f t="shared" si="20"/>
        <v>No</v>
      </c>
      <c r="I108" s="10">
        <f>_xlfn.XLOOKUP(E108,Sequences!$A$2:$A$11,Sequences!$B$2:$B$11)</f>
        <v>0.1217</v>
      </c>
      <c r="J108" t="str">
        <f t="shared" si="26"/>
        <v>No</v>
      </c>
      <c r="K108" s="6" t="s">
        <v>53</v>
      </c>
    </row>
    <row r="109" spans="1:11" x14ac:dyDescent="0.55000000000000004">
      <c r="A109" s="8">
        <f t="shared" si="21"/>
        <v>33684.972999999998</v>
      </c>
      <c r="B109" s="5">
        <f t="shared" si="22"/>
        <v>3.3685</v>
      </c>
      <c r="C109" s="7">
        <f t="shared" si="23"/>
        <v>0.11459999999999999</v>
      </c>
      <c r="D109">
        <f t="shared" si="24"/>
        <v>29.393542757417105</v>
      </c>
      <c r="E109" t="str">
        <f t="shared" si="25"/>
        <v>uniform</v>
      </c>
      <c r="F109" t="s">
        <v>128</v>
      </c>
      <c r="G109">
        <f>_xlfn.XLOOKUP(E109,Sequences,Sequences!$C$2:$C$11)</f>
        <v>3.1688000000000001</v>
      </c>
      <c r="H109" t="str">
        <f t="shared" si="20"/>
        <v>No</v>
      </c>
      <c r="I109" s="10">
        <f>_xlfn.XLOOKUP(E109,Sequences!$A$2:$A$11,Sequences!$B$2:$B$11)</f>
        <v>0.1217</v>
      </c>
      <c r="J109" t="str">
        <f t="shared" si="26"/>
        <v>No</v>
      </c>
      <c r="K109" s="6" t="s">
        <v>140</v>
      </c>
    </row>
  </sheetData>
  <autoFilter ref="A3:K109" xr:uid="{84B9182A-1D61-4B81-884F-470869407FBE}">
    <sortState xmlns:xlrd2="http://schemas.microsoft.com/office/spreadsheetml/2017/richdata2" ref="A4:K109">
      <sortCondition ref="E3:E109"/>
    </sortState>
  </autoFilter>
  <dataConsolidate/>
  <conditionalFormatting sqref="J4:K32 H4:H109">
    <cfRule type="cellIs" dxfId="19" priority="15" operator="equal">
      <formula>"No"</formula>
    </cfRule>
  </conditionalFormatting>
  <conditionalFormatting sqref="J33:K50">
    <cfRule type="cellIs" dxfId="18" priority="14" operator="equal">
      <formula>"No"</formula>
    </cfRule>
  </conditionalFormatting>
  <conditionalFormatting sqref="J51:J68">
    <cfRule type="cellIs" dxfId="17" priority="13" operator="equal">
      <formula>"No"</formula>
    </cfRule>
  </conditionalFormatting>
  <conditionalFormatting sqref="J69:K85 J108">
    <cfRule type="cellIs" dxfId="16" priority="12" operator="equal">
      <formula>"No"</formula>
    </cfRule>
  </conditionalFormatting>
  <conditionalFormatting sqref="J86:J94">
    <cfRule type="cellIs" dxfId="15" priority="11" operator="equal">
      <formula>"No"</formula>
    </cfRule>
  </conditionalFormatting>
  <conditionalFormatting sqref="K86:K94">
    <cfRule type="cellIs" dxfId="14" priority="10" operator="equal">
      <formula>"No"</formula>
    </cfRule>
  </conditionalFormatting>
  <conditionalFormatting sqref="J95:J98">
    <cfRule type="cellIs" dxfId="13" priority="9" operator="equal">
      <formula>"No"</formula>
    </cfRule>
  </conditionalFormatting>
  <conditionalFormatting sqref="J99">
    <cfRule type="cellIs" dxfId="12" priority="8" operator="equal">
      <formula>"No"</formula>
    </cfRule>
  </conditionalFormatting>
  <conditionalFormatting sqref="J100">
    <cfRule type="cellIs" dxfId="11" priority="7" operator="equal">
      <formula>"No"</formula>
    </cfRule>
  </conditionalFormatting>
  <conditionalFormatting sqref="K101:K102">
    <cfRule type="cellIs" dxfId="10" priority="6" operator="equal">
      <formula>"No"</formula>
    </cfRule>
  </conditionalFormatting>
  <conditionalFormatting sqref="J101:J102">
    <cfRule type="cellIs" dxfId="9" priority="5" operator="equal">
      <formula>"No"</formula>
    </cfRule>
  </conditionalFormatting>
  <conditionalFormatting sqref="J103:J105">
    <cfRule type="cellIs" dxfId="8" priority="4" operator="equal">
      <formula>"No"</formula>
    </cfRule>
  </conditionalFormatting>
  <conditionalFormatting sqref="K106">
    <cfRule type="cellIs" dxfId="7" priority="3" operator="equal">
      <formula>"No"</formula>
    </cfRule>
  </conditionalFormatting>
  <conditionalFormatting sqref="J106:J107 J109">
    <cfRule type="cellIs" dxfId="6" priority="2" operator="equal">
      <formula>"No"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2702-98B5-4400-B0A1-CFFFA6C2AF2B}">
  <sheetPr filterMode="1"/>
  <dimension ref="A1:L94"/>
  <sheetViews>
    <sheetView topLeftCell="C1" zoomScaleNormal="100" workbookViewId="0">
      <selection activeCell="I1" sqref="I1"/>
    </sheetView>
  </sheetViews>
  <sheetFormatPr defaultColWidth="8.83984375" defaultRowHeight="14.4" x14ac:dyDescent="0.55000000000000004"/>
  <cols>
    <col min="1" max="1" width="13.15625" bestFit="1" customWidth="1"/>
    <col min="2" max="2" width="8.83984375" bestFit="1" customWidth="1"/>
    <col min="3" max="3" width="10.26171875" bestFit="1" customWidth="1"/>
    <col min="4" max="5" width="12.83984375" customWidth="1"/>
    <col min="6" max="6" width="19" bestFit="1" customWidth="1"/>
    <col min="8" max="8" width="8.05078125" bestFit="1" customWidth="1"/>
    <col min="11" max="11" width="8.83984375" style="6"/>
    <col min="12" max="12" width="11.15625" bestFit="1" customWidth="1"/>
  </cols>
  <sheetData>
    <row r="1" spans="1:12" x14ac:dyDescent="0.55000000000000004">
      <c r="A1" t="s">
        <v>163</v>
      </c>
    </row>
    <row r="2" spans="1:12" x14ac:dyDescent="0.55000000000000004">
      <c r="A2" s="12" t="s">
        <v>164</v>
      </c>
    </row>
    <row r="3" spans="1:12" s="3" customFormat="1" ht="57.6" x14ac:dyDescent="0.55000000000000004">
      <c r="A3" s="20" t="s">
        <v>14</v>
      </c>
      <c r="B3" s="21" t="s">
        <v>15</v>
      </c>
      <c r="C3" s="23" t="s">
        <v>16</v>
      </c>
      <c r="D3" s="20" t="s">
        <v>17</v>
      </c>
      <c r="E3" s="20" t="s">
        <v>18</v>
      </c>
      <c r="F3" s="20" t="s">
        <v>19</v>
      </c>
      <c r="G3" s="3" t="s">
        <v>169</v>
      </c>
      <c r="H3" s="3" t="s">
        <v>170</v>
      </c>
      <c r="I3" s="20" t="s">
        <v>1</v>
      </c>
      <c r="J3" s="20" t="s">
        <v>20</v>
      </c>
      <c r="K3" s="20" t="s">
        <v>21</v>
      </c>
      <c r="L3" s="20" t="s">
        <v>165</v>
      </c>
    </row>
    <row r="4" spans="1:12" x14ac:dyDescent="0.55000000000000004">
      <c r="A4" s="8" cm="1">
        <f t="array" ref="A4:K4">_xlfn.XLOOKUP(MIN(_xlfn.CHOOSECOLS(solarWindAll, 2)), _xlfn.CHOOSECOLS(solarWindAll, 2), solarWindAll)</f>
        <v>712.35400000000004</v>
      </c>
      <c r="B4" s="5">
        <v>0.74829999999999997</v>
      </c>
      <c r="C4" s="7">
        <v>0.85714000000000001</v>
      </c>
      <c r="D4">
        <v>0.87301957673192243</v>
      </c>
      <c r="E4" t="str">
        <v>solarWind</v>
      </c>
      <c r="F4" t="str">
        <v>NN_NoLSTM</v>
      </c>
      <c r="G4">
        <v>1.9595</v>
      </c>
      <c r="H4" t="str">
        <v>Yes</v>
      </c>
      <c r="I4" s="10">
        <v>0.4758</v>
      </c>
      <c r="J4" t="str">
        <v>Yes</v>
      </c>
      <c r="K4" s="9" t="str">
        <v>Symbol Machine processed 952 out of 952 symbols in sequence_solarWind_test.mat.
Total penalty: 712.354 bits (0.7483 bits per symbol).
Correctly predicted 85.714% of symbols.
5685 probabilities forecasted between 0% and 1%; actual occurrence rate 0.02%.
474 probabilities forecasted between 1% and 5%; actual occurrence rate 6.75%.
1130 probabilities forecasted between 5% and 10%; actual occurrence rate 5.31%.
197 probabilities forecasted between 10% and 20%; actual occurrence rate 6.60%.
131 probabilities forecasted between 20% and 30%; actual occurrence rate 22.90%.
0 probabilities forecasted between 30% and 40%.
0 probabilities forecasted between 40% and 50%.
0 probabilities forecasted between 50% and 60%.
140 probabilities forecasted between 60% and 70%; actual occurrence rate 72.14%.
21 probabilities forecasted between 70% and 80%; actual occurrence rate 80.95%.
790 probabilities forecasted between 80% and 90%; actual occurrence rate 88.35%.
0 probabilities forecasted between 90% and 100%.</v>
      </c>
      <c r="L4" t="str">
        <f>IF(COUNTIF(D$4:D4,D4)=1,"No","Yes")</f>
        <v>No</v>
      </c>
    </row>
    <row r="5" spans="1:12" x14ac:dyDescent="0.55000000000000004">
      <c r="A5" s="8" cm="1">
        <f t="array" ref="A5:K5">_xlfn.XLOOKUP(MIN(_xlfn.CHOOSECOLS(heart2All, 2)), _xlfn.CHOOSECOLS(heart2All, 2), heart2All)</f>
        <v>824.899</v>
      </c>
      <c r="B5" s="5">
        <v>0.91659999999999997</v>
      </c>
      <c r="C5" s="7">
        <v>0.81444000000000005</v>
      </c>
      <c r="D5">
        <v>1.1254358823240507</v>
      </c>
      <c r="E5" t="str">
        <v>heart2</v>
      </c>
      <c r="F5" t="str">
        <v>NN_NoLSTM</v>
      </c>
      <c r="G5">
        <v>2.4636</v>
      </c>
      <c r="H5" t="str">
        <v>Yes</v>
      </c>
      <c r="I5" s="10">
        <v>0.27889999999999998</v>
      </c>
      <c r="J5" t="str">
        <v>Yes</v>
      </c>
      <c r="K5" s="6" t="str">
        <v>Symbol Machine processed 900 out of 900 symbols in sequence_heart2_test.mat.
Total penalty: 824.899 bits (0.9166 bits per symbol).
Correctly predicted 81.444% of symbols.
5500 probabilities forecasted between 0% and 1%; actual occurrence rate 0.05%.
687 probabilities forecasted between 1% and 5%; actual occurrence rate 8.15%.
646 probabilities forecasted between 5% and 10%; actual occurrence rate 9.60%.
368 probabilities forecasted between 10% and 20%; actual occurrence rate 12.50%.
0 probabilities forecasted between 20% and 30%.
0 probabilities forecasted between 30% and 40%.
0 probabilities forecasted between 40% and 50%.
0 probabilities forecasted between 50% and 60%.
0 probabilities forecasted between 60% and 70%.
303 probabilities forecasted between 70% and 80%; actual occurrence rate 77.56%.
242 probabilities forecasted between 80% and 90%; actual occurrence rate 77.69%.
354 probabilities forecasted between 90% and 100%; actual occurrence rate 87.57%.</v>
      </c>
      <c r="L5" t="str">
        <f>IF(COUNTIF(D$4:D5,D5)=1,"No","Yes")</f>
        <v>No</v>
      </c>
    </row>
    <row r="6" spans="1:12" x14ac:dyDescent="0.55000000000000004">
      <c r="A6" s="8" cm="1">
        <f t="array" ref="A6:K6">_xlfn.XLOOKUP(MAX(_xlfn.CHOOSECOLS(heart2All, 3)), _xlfn.CHOOSECOLS(heart2All, 3), heart2All)</f>
        <v>827.71799999999996</v>
      </c>
      <c r="B6" s="5">
        <v>0.91969999999999996</v>
      </c>
      <c r="C6" s="11">
        <v>0.81667000000000001</v>
      </c>
      <c r="D6">
        <v>1.1261586687401275</v>
      </c>
      <c r="E6" t="str">
        <v>heart2</v>
      </c>
      <c r="F6" t="str">
        <v>NN_NoLSTM</v>
      </c>
      <c r="G6">
        <v>2.4636</v>
      </c>
      <c r="H6" t="str">
        <v>Yes</v>
      </c>
      <c r="I6" s="10">
        <v>0.27889999999999998</v>
      </c>
      <c r="J6" t="str">
        <v>Yes</v>
      </c>
      <c r="K6" s="6" t="str">
        <v>Symbol Machine processed 900 out of 900 symbols in sequence_heart2_test.mat.
Total penalty: 827.718 bits (0.9197 bits per symbol).
Correctly predicted 81.667% of symbols.
4897 probabilities forecasted between 0% and 1%; actual occurrence rate 0.04%.
1218 probabilities forecasted between 1% and 5%; actual occurrence rate 4.35%.
646 probabilities forecasted between 5% and 10%; actual occurrence rate 9.29%.
440 probabilities forecasted between 10% and 20%; actual occurrence rate 11.36%.
0 probabilities forecasted between 20% and 30%.
3 probabilities forecasted between 30% and 40%; actual occurrence rate 66.67%.
0 probabilities forecasted between 40% and 50%.
0 probabilities forecasted between 50% and 60%.
0 probabilities forecasted between 60% and 70%.
361 probabilities forecasted between 70% and 80%; actual occurrence rate 76.45%.
184 probabilities forecasted between 80% and 90%; actual occurrence rate 79.89%.
351 probabilities forecasted between 90% and 100%; actual occurrence rate 88.32%.</v>
      </c>
      <c r="L6" t="str">
        <f>IF(COUNTIF(D$4:D6,D6)=1,"No","Yes")</f>
        <v>No</v>
      </c>
    </row>
    <row r="7" spans="1:12" x14ac:dyDescent="0.55000000000000004">
      <c r="A7" s="8" cm="1">
        <f t="array" ref="A7:K7">_xlfn.XLOOKUP(MIN(_xlfn.CHOOSECOLS(heart1All, 2)), _xlfn.CHOOSECOLS(heart1All, 2), heart1All)</f>
        <v>1010.985</v>
      </c>
      <c r="B7" s="5">
        <v>1.1233</v>
      </c>
      <c r="C7" s="7">
        <v>0.73777999999999999</v>
      </c>
      <c r="D7">
        <v>1.5225405947572446</v>
      </c>
      <c r="E7" t="str">
        <v>heart1</v>
      </c>
      <c r="F7" t="str">
        <v>NN_NoLSTM</v>
      </c>
      <c r="G7">
        <v>2.6314000000000002</v>
      </c>
      <c r="H7" t="str">
        <v>Yes</v>
      </c>
      <c r="I7" s="10">
        <v>0.26219999999999999</v>
      </c>
      <c r="J7" t="str">
        <v>Yes</v>
      </c>
      <c r="K7" s="6" t="str">
        <v>Symbol Machine processed 900 out of 900 symbols in sequence_heart1_test.mat.
Total penalty: 1010.985 bits (1.1233 bits per symbol).
Correctly predicted 73.778% of symbols.
5445 probabilities forecasted between 0% and 1%; actual occurrence rate 0.18%.
181 probabilities forecasted between 1% and 5%; actual occurrence rate 4.42%.
636 probabilities forecasted between 5% and 10%; actual occurrence rate 9.91%.
623 probabilities forecasted between 10% and 20%; actual occurrence rate 12.36%.
269 probabilities forecasted between 20% and 30%; actual occurrence rate 13.75%.
0 probabilities forecasted between 30% and 40%.
98 probabilities forecasted between 40% and 50%; actual occurrence rate 48.98%.
0 probabilities forecasted between 50% and 60%.
0 probabilities forecasted between 60% and 70%.
504 probabilities forecasted between 70% and 80%; actual occurrence rate 78.57%.
338 probabilities forecasted between 80% and 90%; actual occurrence rate 76.33%.
6 probabilities forecasted between 90% and 100%; actual occurrence rate 50.00%.</v>
      </c>
      <c r="L7" t="str">
        <f>IF(COUNTIF(D$4:D7,D7)=1,"No","Yes")</f>
        <v>No</v>
      </c>
    </row>
    <row r="8" spans="1:12" x14ac:dyDescent="0.55000000000000004">
      <c r="A8" s="8" cm="1">
        <f t="array" ref="A8:K8">_xlfn.XLOOKUP(MIN(_xlfn.CHOOSECOLS(DIAtempAll, 2)), _xlfn.CHOOSECOLS(DIAtempAll, 2), DIAtempAll)</f>
        <v>5401.1049999999996</v>
      </c>
      <c r="B8" s="5">
        <v>1.6432</v>
      </c>
      <c r="C8" s="7">
        <v>0.52997000000000005</v>
      </c>
      <c r="D8">
        <v>3.1005528614827251</v>
      </c>
      <c r="E8" t="str">
        <v>DIAtemp</v>
      </c>
      <c r="F8" t="str">
        <v>LSTM_Multichannel</v>
      </c>
      <c r="G8">
        <v>2.5186999999999999</v>
      </c>
      <c r="H8" t="str">
        <v>Yes</v>
      </c>
      <c r="I8" s="10">
        <v>0.22</v>
      </c>
      <c r="J8" t="str">
        <v>Yes</v>
      </c>
      <c r="K8" s="6" t="str">
        <v>Symbol Machine processed 3287 out of 3287 symbols in sequence_DIAtemp_test.mat.
Total penalty: 5401.105 bits (1.6432 bits per symbol).
Correctly predicted 52.997% of symbols.
13203 probabilities forecasted between 0% and 1%; actual occurrence rate 0.22%.
5590 probabilities forecasted between 1% and 5%; actual occurrence rate 1.48%.
1973 probabilities forecasted between 5% and 10%; actual occurrence rate 5.58%.
2216 probabilities forecasted between 10% and 20%; actual occurrence rate 15.07%.
1944 probabilities forecasted between 20% and 30%; actual occurrence rate 24.85%.
1620 probabilities forecasted between 30% and 40%; actual occurrence rate 37.96%.
1563 probabilities forecasted between 40% and 50%; actual occurrence rate 44.53%.
790 probabilities forecasted between 50% and 60%; actual occurrence rate 54.05%.
292 probabilities forecasted between 60% and 70%; actual occurrence rate 67.81%.
391 probabilities forecasted between 70% and 80%; actual occurrence rate 79.80%.
1 probabilities forecasted between 80% and 90%; actual occurrence rate 0.00%.
0 probabilities forecasted between 90% and 100%.</v>
      </c>
      <c r="L8" t="str">
        <f>IF(COUNTIF(D$4:D8,D8)=1,"No","Yes")</f>
        <v>No</v>
      </c>
    </row>
    <row r="9" spans="1:12" x14ac:dyDescent="0.55000000000000004">
      <c r="A9" s="8" cm="1">
        <f t="array" ref="A9:K9">_xlfn.XLOOKUP(MIN(_xlfn.CHOOSECOLS(HawaiianAll, 2)), _xlfn.CHOOSECOLS(HawaiianAll, 2), HawaiianAll)</f>
        <v>9638.1049999999996</v>
      </c>
      <c r="B9" s="5">
        <v>1.7047000000000001</v>
      </c>
      <c r="C9" s="7">
        <v>0.61673</v>
      </c>
      <c r="D9">
        <v>2.764094498402867</v>
      </c>
      <c r="E9" t="str">
        <v>Hawaiian</v>
      </c>
      <c r="F9" t="str">
        <v>LSTM_Multichannel</v>
      </c>
      <c r="G9">
        <v>2.0611000000000002</v>
      </c>
      <c r="H9" t="str">
        <v>Yes</v>
      </c>
      <c r="I9" s="10">
        <v>0.42470000000000002</v>
      </c>
      <c r="J9" t="str">
        <v>Yes</v>
      </c>
      <c r="K9" s="6" t="str">
        <v>Symbol Machine processed 5654 out of 5654 symbols in sequence_Hawaiian_test.mat.
Total penalty: 9638.105 bits (1.7047 bits per symbol).
Correctly predicted 61.673% of symbols.
15353 probabilities forecasted between 0% and 1%; actual occurrence rate 0.60%.
15515 probabilities forecasted between 1% and 5%; actual occurrence rate 2.07%.
6265 probabilities forecasted between 5% and 10%; actual occurrence rate 5.44%.
5204 probabilities forecasted between 10% and 20%; actual occurrence rate 13.57%.
3098 probabilities forecasted between 20% and 30%; actual occurrence rate 23.72%.
1095 probabilities forecasted between 30% and 40%; actual occurrence rate 33.06%.
864 probabilities forecasted between 40% and 50%; actual occurrence rate 47.34%.
1033 probabilities forecasted between 50% and 60%; actual occurrence rate 61.96%.
835 probabilities forecasted between 60% and 70%; actual occurrence rate 70.66%.
481 probabilities forecasted between 70% and 80%; actual occurrence rate 75.68%.
517 probabilities forecasted between 80% and 90%; actual occurrence rate 94.58%.
626 probabilities forecasted between 90% and 100%; actual occurrence rate 96.65%.</v>
      </c>
      <c r="L9" t="str">
        <f>IF(COUNTIF(D$4:D9,D9)=1,"No","Yes")</f>
        <v>No</v>
      </c>
    </row>
    <row r="10" spans="1:12" x14ac:dyDescent="0.55000000000000004">
      <c r="A10" s="8" cm="1">
        <f t="array" ref="A10:K10">_xlfn.XLOOKUP(MAX(_xlfn.CHOOSECOLS(HawaiianAll, 3)), _xlfn.CHOOSECOLS(HawaiianAll, 3), HawaiianAll)</f>
        <v>9691.6569999999992</v>
      </c>
      <c r="B10" s="5">
        <v>1.7141</v>
      </c>
      <c r="C10" s="7">
        <v>0.62133000000000005</v>
      </c>
      <c r="D10">
        <v>2.7587594354046963</v>
      </c>
      <c r="E10" t="str">
        <v>Hawaiian</v>
      </c>
      <c r="F10" t="str">
        <v>LSTM_Multichannel</v>
      </c>
      <c r="G10">
        <v>2.0611000000000002</v>
      </c>
      <c r="H10" t="str">
        <v>Yes</v>
      </c>
      <c r="I10" s="10">
        <v>0.42470000000000002</v>
      </c>
      <c r="J10" t="str">
        <v>Yes</v>
      </c>
      <c r="K10" s="9" t="str">
        <v>Symbol Machine processed 5654 out of 5654 symbols in sequence_Hawaiian_test.mat.
Total penalty: 9691.657 bits (1.7141 bits per symbol).
Correctly predicted 62.133% of symbols.
13542 probabilities forecasted between 0% and 1%; actual occurrence rate 0.54%.
16927 probabilities forecasted between 1% and 5%; actual occurrence rate 1.81%.
6570 probabilities forecasted between 5% and 10%; actual occurrence rate 5.91%.
5302 probabilities forecasted between 10% and 20%; actual occurrence rate 14.26%.
3079 probabilities forecasted between 20% and 30%; actual occurrence rate 21.76%.
1182 probabilities forecasted between 30% and 40%; actual occurrence rate 32.40%.
913 probabilities forecasted between 40% and 50%; actual occurrence rate 53.89%.
1044 probabilities forecasted between 50% and 60%; actual occurrence rate 61.30%.
862 probabilities forecasted between 60% and 70%; actual occurrence rate 71.11%.
434 probabilities forecasted between 70% and 80%; actual occurrence rate 78.11%.
428 probabilities forecasted between 80% and 90%; actual occurrence rate 94.16%.
603 probabilities forecasted between 90% and 100%; actual occurrence rate 97.84%.</v>
      </c>
      <c r="L10" t="str">
        <f>IF(COUNTIF(D$4:D10,D10)=1,"No","Yes")</f>
        <v>No</v>
      </c>
    </row>
    <row r="11" spans="1:12" x14ac:dyDescent="0.55000000000000004">
      <c r="A11" s="8" cm="1">
        <f t="array" ref="A11:K11">_xlfn.XLOOKUP(MIN(_xlfn.CHOOSECOLS(DIAwindAll, 2)), _xlfn.CHOOSECOLS(DIAwindAll, 2), DIAwindAll)</f>
        <v>6210.174</v>
      </c>
      <c r="B11" s="5">
        <v>1.8893</v>
      </c>
      <c r="C11" s="7">
        <v>0.46425</v>
      </c>
      <c r="D11">
        <v>4.0695745826602048</v>
      </c>
      <c r="E11" t="str">
        <v>DIAwind</v>
      </c>
      <c r="F11" t="str">
        <v>NN_NoLSTM</v>
      </c>
      <c r="G11">
        <v>1.9139999999999999</v>
      </c>
      <c r="H11" t="str">
        <v>Yes</v>
      </c>
      <c r="I11" s="10">
        <v>0.4667</v>
      </c>
      <c r="J11" t="str">
        <v>No</v>
      </c>
      <c r="K11" s="6" t="str">
        <v>Symbol Machine processed 3287 out of 3287 symbols in sequence_DIAwind_test.mat.
Total penalty: 6210.174 bits (1.8893 bits per symbol).
Correctly predicted 46.425% of symbols.
12677 probabilities forecasted between 0% and 1%; actual occurrence rate 0.27%.
3804 probabilities forecasted between 1% and 5%; actual occurrence rate 2.16%.
4243 probabilities forecasted between 5% and 10%; actual occurrence rate 8.27%.
2279 probabilities forecasted between 10% and 20%; actual occurrence rate 12.24%.
392 probabilities forecasted between 20% and 30%; actual occurrence rate 20.92%.
3305 probabilities forecasted between 30% and 40%; actual occurrence rate 32.13%.
2876 probabilities forecasted between 40% and 50%; actual occurrence rate 48.47%.
7 probabilities forecasted between 50% and 60%; actual occurrence rate 42.86%.
0 probabilities forecasted between 60% and 70%.
0 probabilities forecasted between 70% and 80%.
0 probabilities forecasted between 80% and 90%.
0 probabilities forecasted between 90% and 100%.</v>
      </c>
      <c r="L11" t="str">
        <f>IF(COUNTIF(D$4:D11,D11)=1,"No","Yes")</f>
        <v>No</v>
      </c>
    </row>
    <row r="12" spans="1:12" x14ac:dyDescent="0.55000000000000004">
      <c r="A12" s="8" cm="1">
        <f t="array" ref="A12:K12">_xlfn.XLOOKUP(MIN(_xlfn.CHOOSECOLS(DIAwindAll, 4)), _xlfn.CHOOSECOLS(DIAwindAll, 4), DIAwindAll)</f>
        <v>6232.6149999999998</v>
      </c>
      <c r="B12" s="5">
        <v>1.8960999999999999</v>
      </c>
      <c r="C12" s="7">
        <v>0.46668999999999999</v>
      </c>
      <c r="D12">
        <v>4.0628682851571707</v>
      </c>
      <c r="E12" t="str">
        <v>DIAwind</v>
      </c>
      <c r="F12" t="str">
        <v>RegressionLearner_MC</v>
      </c>
      <c r="G12">
        <v>1.9139999999999999</v>
      </c>
      <c r="H12" t="str">
        <v>Yes</v>
      </c>
      <c r="I12" s="10">
        <v>0.4667</v>
      </c>
      <c r="J12" t="str">
        <v>No</v>
      </c>
      <c r="K12" s="6" t="str">
        <v>Symbol Machine processed 3287 out of 3287 symbols in sequence_DIAwind_test.mat.
Total penalty: 6232.615 bits (1.8961 bits per symbol).
Correctly predicted 46.669% of symbols.
13103 probabilities forecasted between 0% and 1%; actual occurrence rate 0.37%.
3223 probabilities forecasted between 1% and 5%; actual occurrence rate 1.83%.
4929 probabilities forecasted between 5% and 10%; actual occurrence rate 8.64%.
1423 probabilities forecasted between 10% and 20%; actual occurrence rate 10.12%.
2599 probabilities forecasted between 20% and 30%; actual occurrence rate 27.63%.
1350 probabilities forecasted between 30% and 40%; actual occurrence rate 39.33%.
2956 probabilities forecasted between 40% and 50%; actual occurrence rate 46.04%.
0 probabilities forecasted between 50% and 60%.
0 probabilities forecasted between 60% and 70%.
0 probabilities forecasted between 70% and 80%.
0 probabilities forecasted between 80% and 90%.
0 probabilities forecasted between 90% and 100%.</v>
      </c>
      <c r="L12" t="str">
        <f>IF(COUNTIF(D$4:D12,D12)=1,"No","Yes")</f>
        <v>No</v>
      </c>
    </row>
    <row r="13" spans="1:12" x14ac:dyDescent="0.55000000000000004">
      <c r="A13" s="8" cm="1">
        <f t="array" ref="A13:K13">_xlfn.XLOOKUP(MAX(_xlfn.CHOOSECOLS(DIAwindAll, 3)), _xlfn.CHOOSECOLS(DIAwindAll, 3), DIAwindAll)</f>
        <v>6340.0420000000004</v>
      </c>
      <c r="B13" s="5">
        <v>1.9288000000000001</v>
      </c>
      <c r="C13" s="7">
        <v>0.46882000000000001</v>
      </c>
      <c r="D13">
        <v>4.1141589522631286</v>
      </c>
      <c r="E13" t="str">
        <v>DIAwind</v>
      </c>
      <c r="F13" t="str">
        <v>NN_NoLSTM</v>
      </c>
      <c r="G13">
        <v>1.9139999999999999</v>
      </c>
      <c r="H13" t="str">
        <v>No</v>
      </c>
      <c r="I13" s="10">
        <v>0.4667</v>
      </c>
      <c r="J13" t="str">
        <v>Yes</v>
      </c>
      <c r="K13" s="9" t="str">
        <v>Symbol Machine processed 3287 out of 3287 symbols in sequence_DIAwind_test.mat.
Total penalty: 6340.042 bits (1.9288 bits per symbol).
Correctly predicted 46.882% of symbols.
8422 probabilities forecasted between 0% and 1%; actual occurrence rate 0.25%.
7949 probabilities forecasted between 1% and 5%; actual occurrence rate 1.23%.
2304 probabilities forecasted between 5% and 10%; actual occurrence rate 6.60%.
3939 probabilities forecasted between 10% and 20%; actual occurrence rate 10.26%.
2381 probabilities forecasted between 20% and 30%; actual occurrence rate 26.38%.
1705 probabilities forecasted between 30% and 40%; actual occurrence rate 34.43%.
2876 probabilities forecasted between 40% and 50%; actual occurrence rate 48.47%.
7 probabilities forecasted between 50% and 60%; actual occurrence rate 42.86%.
0 probabilities forecasted between 60% and 70%.
0 probabilities forecasted between 70% and 80%.
0 probabilities forecasted between 80% and 90%.
0 probabilities forecasted between 90% and 100%.</v>
      </c>
      <c r="L13" t="str">
        <f>IF(COUNTIF(D$4:D13,D13)=1,"No","Yes")</f>
        <v>No</v>
      </c>
    </row>
    <row r="14" spans="1:12" hidden="1" x14ac:dyDescent="0.55000000000000004">
      <c r="A14" s="8" cm="1">
        <f t="array" ref="A14:K14">_xlfn.XLOOKUP(MAX(_xlfn.CHOOSECOLS(DIAtempAll, 3)), _xlfn.CHOOSECOLS(DIAtempAll, 3), DIAtempAll)</f>
        <v>5401.1049999999996</v>
      </c>
      <c r="B14" s="5">
        <v>1.6432</v>
      </c>
      <c r="C14" s="7">
        <v>0.52997000000000005</v>
      </c>
      <c r="D14">
        <v>3.1005528614827251</v>
      </c>
      <c r="E14" t="str">
        <v>DIAtemp</v>
      </c>
      <c r="F14" t="str">
        <v>LSTM_Multichannel</v>
      </c>
      <c r="G14">
        <v>2.5186999999999999</v>
      </c>
      <c r="H14" t="str">
        <v>Yes</v>
      </c>
      <c r="I14" s="10">
        <v>0.22</v>
      </c>
      <c r="J14" t="str">
        <v>Yes</v>
      </c>
      <c r="K14" s="9" t="str">
        <v>Symbol Machine processed 3287 out of 3287 symbols in sequence_DIAtemp_test.mat.
Total penalty: 5401.105 bits (1.6432 bits per symbol).
Correctly predicted 52.997% of symbols.
13203 probabilities forecasted between 0% and 1%; actual occurrence rate 0.22%.
5590 probabilities forecasted between 1% and 5%; actual occurrence rate 1.48%.
1973 probabilities forecasted between 5% and 10%; actual occurrence rate 5.58%.
2216 probabilities forecasted between 10% and 20%; actual occurrence rate 15.07%.
1944 probabilities forecasted between 20% and 30%; actual occurrence rate 24.85%.
1620 probabilities forecasted between 30% and 40%; actual occurrence rate 37.96%.
1563 probabilities forecasted between 40% and 50%; actual occurrence rate 44.53%.
790 probabilities forecasted between 50% and 60%; actual occurrence rate 54.05%.
292 probabilities forecasted between 60% and 70%; actual occurrence rate 67.81%.
391 probabilities forecasted between 70% and 80%; actual occurrence rate 79.80%.
1 probabilities forecasted between 80% and 90%; actual occurrence rate 0.00%.
0 probabilities forecasted between 90% and 100%.</v>
      </c>
      <c r="L14" t="str">
        <f>IF(COUNTIF(D$4:D14,D14)=1,"No","Yes")</f>
        <v>Yes</v>
      </c>
    </row>
    <row r="15" spans="1:12" x14ac:dyDescent="0.55000000000000004">
      <c r="A15" s="8" cm="1">
        <f t="array" ref="A15:K15">_xlfn.XLOOKUP(MAX(_xlfn.CHOOSECOLS(DickensAll, 3)), _xlfn.CHOOSECOLS(DickensAll, 3), DickensAll)</f>
        <v>180907.03099999999</v>
      </c>
      <c r="B15" s="5">
        <v>2.4116</v>
      </c>
      <c r="C15" s="7">
        <v>0.42836000000000002</v>
      </c>
      <c r="D15">
        <v>5.6298440564011578</v>
      </c>
      <c r="E15" t="str">
        <v>Dickens</v>
      </c>
      <c r="F15" t="str">
        <v>LSTM_Multichannel</v>
      </c>
      <c r="G15">
        <v>2.9093</v>
      </c>
      <c r="H15" t="str">
        <v>Yes</v>
      </c>
      <c r="I15" s="10">
        <v>0.2893</v>
      </c>
      <c r="J15" t="str">
        <v>Yes</v>
      </c>
      <c r="K15" s="9" t="str">
        <v>Symbol Machine processed 75014 out of 75014 symbols in sequence_Dickens_test.mat.
Total penalty: 180907.031 bits (2.4116 bits per symbol).
Correctly predicted 42.836% of symbols.
109371 probabilities forecasted between 0% and 1%; actual occurrence rate 1.12%.
149169 probabilities forecasted between 1% and 5%; actual occurrence rate 2.93%.
159744 probabilities forecasted between 5% and 10%; actual occurrence rate 6.47%.
158111 probabilities forecasted between 10% and 20%; actual occurrence rate 13.13%.
51202 probabilities forecasted between 20% and 30%; actual occurrence rate 23.99%.
18620 probabilities forecasted between 30% and 40%; actual occurrence rate 35.85%.
8962 probabilities forecasted between 40% and 50%; actual occurrence rate 50.35%.
6716 probabilities forecasted between 50% and 60%; actual occurrence rate 59.84%.
4945 probabilities forecasted between 60% and 70%; actual occurrence rate 71.79%.
3949 probabilities forecasted between 70% and 80%; actual occurrence rate 83.62%.
3203 probabilities forecasted between 80% and 90%; actual occurrence rate 90.01%.
1134 probabilities forecasted between 90% and 100%; actual occurrence rate 95.94%.</v>
      </c>
      <c r="L15" t="str">
        <f>IF(COUNTIF(D$4:D15,D15)=1,"No","Yes")</f>
        <v>No</v>
      </c>
    </row>
    <row r="16" spans="1:12" x14ac:dyDescent="0.55000000000000004">
      <c r="A16" s="8" cm="1">
        <f t="array" ref="A16:K16">_xlfn.XLOOKUP(MIN(_xlfn.CHOOSECOLS(nonuniformAll, 2)), _xlfn.CHOOSECOLS(nonuniformAll, 2), nonuniformAll)</f>
        <v>29146.080000000002</v>
      </c>
      <c r="B16" s="5">
        <v>2.9146000000000001</v>
      </c>
      <c r="C16" s="7">
        <v>0.17630000000000001</v>
      </c>
      <c r="D16">
        <v>16.532047646057855</v>
      </c>
      <c r="E16" t="str">
        <v>nonuniform</v>
      </c>
      <c r="F16" t="str">
        <v>RegressionLearner</v>
      </c>
      <c r="G16">
        <v>2.6530999999999998</v>
      </c>
      <c r="H16" t="str">
        <v>No</v>
      </c>
      <c r="I16" s="10">
        <v>0.34549999999999997</v>
      </c>
      <c r="J16" t="str">
        <v>No</v>
      </c>
      <c r="K16" s="6" t="str">
        <v>Symbol Machine processed 10000 out of 10000 symbols in sequence_nonuniform_test.mat.
Total penalty: 29146.080 bits (2.9146 bits per symbol).
Correctly predicted 17.630% of symbols.
10000 probabilities forecasted between 0% and 1%; actual occurrence rate 2.22%.
10000 probabilities forecasted between 1% and 5%; actual occurrence rate 4.37%.
20000 probabilities forecasted between 5% and 10%; actual occurrence rate 5.29%.
40000 probabilities forecasted between 10% and 20%; actual occurrence rate 16.30%.
10000 probabilities forecasted between 20% and 30%; actual occurrence rate 17.63%.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v>
      </c>
      <c r="L16" t="str">
        <f>IF(COUNTIF(D$4:D16,D16)=1,"No","Yes")</f>
        <v>No</v>
      </c>
    </row>
    <row r="17" spans="1:12" x14ac:dyDescent="0.55000000000000004">
      <c r="A17" s="8" cm="1">
        <f t="array" ref="A17:K17">_xlfn.XLOOKUP(MIN(_xlfn.CHOOSECOLS(uniformAll, 2)), _xlfn.CHOOSECOLS(uniformAll, 2), uniformAll)</f>
        <v>31705.641</v>
      </c>
      <c r="B17" s="5">
        <v>3.1705999999999999</v>
      </c>
      <c r="C17" s="7">
        <v>0.1147</v>
      </c>
      <c r="D17">
        <v>27.642545771578028</v>
      </c>
      <c r="E17" t="str">
        <v>uniform</v>
      </c>
      <c r="F17" t="str">
        <v>RegressionLearner_MC</v>
      </c>
      <c r="G17">
        <v>3.1688000000000001</v>
      </c>
      <c r="H17" t="str">
        <v>No</v>
      </c>
      <c r="I17" s="10">
        <v>0.1217</v>
      </c>
      <c r="J17" t="str">
        <v>No</v>
      </c>
      <c r="K17" s="9" t="str">
        <v>Symbol Machine processed 10000 out of 10000 symbols in sequence_uniform_test.mat.
Total penalty: 31705.641 bits (3.1706 bits per symbol).
Correctly predicted 11.470% of symbols.
0 probabilities forecasted between 0% and 1%.
0 probabilities forecasted between 1% and 5%.
0 probabilities forecasted between 5% and 10%.
90000 probabilities forecasted between 10% and 20%; actual occurrence rate 11.11%.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v>
      </c>
      <c r="L17" t="str">
        <f>IF(COUNTIF(D$4:D17,D17)=1,"No","Yes")</f>
        <v>No</v>
      </c>
    </row>
    <row r="18" spans="1:12" hidden="1" x14ac:dyDescent="0.55000000000000004">
      <c r="A18" s="8" cm="1">
        <f t="array" ref="A18:K18">_xlfn.XLOOKUP(MIN(_xlfn.CHOOSECOLS(DickensAll, 2)), _xlfn.CHOOSECOLS(DickensAll, 2), DickensAll)</f>
        <v>180907.03099999999</v>
      </c>
      <c r="B18" s="5">
        <v>2.4116</v>
      </c>
      <c r="C18" s="7">
        <v>0.42836000000000002</v>
      </c>
      <c r="D18">
        <v>5.6298440564011578</v>
      </c>
      <c r="E18" t="str">
        <v>Dickens</v>
      </c>
      <c r="F18" t="str">
        <v>LSTM_Multichannel</v>
      </c>
      <c r="G18">
        <v>2.9093</v>
      </c>
      <c r="H18" t="str">
        <v>Yes</v>
      </c>
      <c r="I18" s="10">
        <v>0.2893</v>
      </c>
      <c r="J18" t="str">
        <v>Yes</v>
      </c>
      <c r="K18" s="6" t="str">
        <v>Symbol Machine processed 75014 out of 75014 symbols in sequence_Dickens_test.mat.
Total penalty: 180907.031 bits (2.4116 bits per symbol).
Correctly predicted 42.836% of symbols.
109371 probabilities forecasted between 0% and 1%; actual occurrence rate 1.12%.
149169 probabilities forecasted between 1% and 5%; actual occurrence rate 2.93%.
159744 probabilities forecasted between 5% and 10%; actual occurrence rate 6.47%.
158111 probabilities forecasted between 10% and 20%; actual occurrence rate 13.13%.
51202 probabilities forecasted between 20% and 30%; actual occurrence rate 23.99%.
18620 probabilities forecasted between 30% and 40%; actual occurrence rate 35.85%.
8962 probabilities forecasted between 40% and 50%; actual occurrence rate 50.35%.
6716 probabilities forecasted between 50% and 60%; actual occurrence rate 59.84%.
4945 probabilities forecasted between 60% and 70%; actual occurrence rate 71.79%.
3949 probabilities forecasted between 70% and 80%; actual occurrence rate 83.62%.
3203 probabilities forecasted between 80% and 90%; actual occurrence rate 90.01%.
1134 probabilities forecasted between 90% and 100%; actual occurrence rate 95.94%.</v>
      </c>
      <c r="L18" t="str">
        <f>IF(COUNTIF(D$4:D18,D18)=1,"No","Yes")</f>
        <v>Yes</v>
      </c>
    </row>
    <row r="19" spans="1:12" x14ac:dyDescent="0.55000000000000004">
      <c r="A19" s="8" cm="1">
        <f t="array" ref="A19:K19">_xlfn.XLOOKUP(MIN(_xlfn.CHOOSECOLS(selfadaptAll, 2)), _xlfn.CHOOSECOLS(selfadaptAll, 2), selfadaptAll)</f>
        <v>33163.557000000001</v>
      </c>
      <c r="B19" s="5">
        <v>3.3163999999999998</v>
      </c>
      <c r="C19" s="7">
        <v>0.10730000000000001</v>
      </c>
      <c r="D19">
        <v>30.907735321528421</v>
      </c>
      <c r="E19" t="str">
        <v>selfadapt</v>
      </c>
      <c r="F19" t="str">
        <v>NAR_NN</v>
      </c>
      <c r="G19">
        <v>2.6471</v>
      </c>
      <c r="H19" t="str">
        <v>No</v>
      </c>
      <c r="I19" s="10">
        <v>0.36120000000000002</v>
      </c>
      <c r="J19" t="str">
        <v>No</v>
      </c>
      <c r="K19" s="9" t="str">
        <v>Symbol Machine processed 10000 out of 10000 symbols in sequence_selfadapt_test.mat.
Total penalty: 33163.557 bits (3.3164 bits per symbol).
Correctly predicted 10.730% of symbols.
0 probabilities forecasted between 0% and 1%.
19998 probabilities forecasted between 1% and 5%; actual occurrence rate 8.26%.
13633 probabilities forecasted between 5% and 10%; actual occurrence rate 14.86%.
56369 probabilities forecasted between 10% and 20%; actual occurrence rate 11.22%.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v>
      </c>
      <c r="L19" t="str">
        <f>IF(COUNTIF(D$4:D19,D19)=1,"No","Yes")</f>
        <v>No</v>
      </c>
    </row>
    <row r="20" spans="1:12" hidden="1" x14ac:dyDescent="0.55000000000000004">
      <c r="A20" s="8" cm="1">
        <f t="array" ref="A20:K20">_xlfn.XLOOKUP(MAX(_xlfn.CHOOSECOLS(nonuniformAll, 3)), _xlfn.CHOOSECOLS(nonuniformAll, 3), nonuniformAll)</f>
        <v>29146.080000000002</v>
      </c>
      <c r="B20" s="5">
        <v>2.9146000000000001</v>
      </c>
      <c r="C20" s="7">
        <v>0.17630000000000001</v>
      </c>
      <c r="D20">
        <v>16.532047646057855</v>
      </c>
      <c r="E20" t="str">
        <v>nonuniform</v>
      </c>
      <c r="F20" t="str">
        <v>RegressionLearner</v>
      </c>
      <c r="G20">
        <v>2.6530999999999998</v>
      </c>
      <c r="H20" t="str">
        <v>No</v>
      </c>
      <c r="I20" s="10">
        <v>0.34549999999999997</v>
      </c>
      <c r="J20" t="str">
        <v>No</v>
      </c>
      <c r="K20" s="6" t="str">
        <v>Symbol Machine processed 10000 out of 10000 symbols in sequence_nonuniform_test.mat.
Total penalty: 29146.080 bits (2.9146 bits per symbol).
Correctly predicted 17.630% of symbols.
10000 probabilities forecasted between 0% and 1%; actual occurrence rate 2.22%.
10000 probabilities forecasted between 1% and 5%; actual occurrence rate 4.37%.
20000 probabilities forecasted between 5% and 10%; actual occurrence rate 5.29%.
40000 probabilities forecasted between 10% and 20%; actual occurrence rate 16.30%.
10000 probabilities forecasted between 20% and 30%; actual occurrence rate 17.63%.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v>
      </c>
      <c r="L20" t="str">
        <f>IF(COUNTIF(D$4:D20,D20)=1,"No","Yes")</f>
        <v>Yes</v>
      </c>
    </row>
    <row r="21" spans="1:12" x14ac:dyDescent="0.55000000000000004">
      <c r="A21" s="8" cm="1">
        <f t="array" ref="A21:K21">_xlfn.XLOOKUP(MAX(_xlfn.CHOOSECOLS(heart1All, 3)), _xlfn.CHOOSECOLS(heart1All, 3), heart1All)</f>
        <v>3189.7910000000002</v>
      </c>
      <c r="B21" s="5">
        <v>3.5442</v>
      </c>
      <c r="C21" s="7">
        <v>0.77666999999999997</v>
      </c>
      <c r="D21">
        <v>4.5633280543860328</v>
      </c>
      <c r="E21" t="str">
        <v>heart1</v>
      </c>
      <c r="F21" t="str">
        <v>RegressionLearner</v>
      </c>
      <c r="G21">
        <v>2.6314000000000002</v>
      </c>
      <c r="H21" t="str">
        <v>No</v>
      </c>
      <c r="I21" s="10">
        <v>0.26219999999999999</v>
      </c>
      <c r="J21" t="str">
        <v>Yes</v>
      </c>
      <c r="K21" s="9" t="str">
        <v>Symbol Machine processed 900 out of 900 symbols in sequence_heart1_test.mat.
Total penalty: 3189.791 bits (3.5442 bits per symbol).
Correctly predicted 77.667% of symbols.
7200 probabilities forecasted between 0% and 1%; actual occurrence rate 2.79%.
0 probabilities forecasted between 1% and 5%.
0 probabilities forecasted between 5% and 10%.
0 probabilities forecasted between 10% and 20%.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900 probabilities forecasted between 90% and 100%; actual occurrence rate 77.67%.</v>
      </c>
      <c r="L21" t="str">
        <f>IF(COUNTIF(D$4:D21,D21)=1,"No","Yes")</f>
        <v>No</v>
      </c>
    </row>
    <row r="22" spans="1:12" hidden="1" x14ac:dyDescent="0.55000000000000004">
      <c r="A22" s="8" cm="1">
        <f t="array" ref="A22:K22">_xlfn.XLOOKUP(MAX(_xlfn.CHOOSECOLS(solarWindAll, 3)), _xlfn.CHOOSECOLS(solarWindAll, 3), solarWindAll)</f>
        <v>712.35400000000004</v>
      </c>
      <c r="B22" s="5">
        <v>0.74829999999999997</v>
      </c>
      <c r="C22" s="7">
        <v>0.85714000000000001</v>
      </c>
      <c r="D22">
        <v>0.87301957673192243</v>
      </c>
      <c r="E22" t="str">
        <v>solarWind</v>
      </c>
      <c r="F22" t="str">
        <v>NN_NoLSTM</v>
      </c>
      <c r="G22">
        <v>1.9595</v>
      </c>
      <c r="H22" t="str">
        <v>Yes</v>
      </c>
      <c r="I22" s="10">
        <v>0.4758</v>
      </c>
      <c r="J22" t="str">
        <v>Yes</v>
      </c>
      <c r="K22" s="6" t="str">
        <v>Symbol Machine processed 952 out of 952 symbols in sequence_solarWind_test.mat.
Total penalty: 712.354 bits (0.7483 bits per symbol).
Correctly predicted 85.714% of symbols.
5685 probabilities forecasted between 0% and 1%; actual occurrence rate 0.02%.
474 probabilities forecasted between 1% and 5%; actual occurrence rate 6.75%.
1130 probabilities forecasted between 5% and 10%; actual occurrence rate 5.31%.
197 probabilities forecasted between 10% and 20%; actual occurrence rate 6.60%.
131 probabilities forecasted between 20% and 30%; actual occurrence rate 22.90%.
0 probabilities forecasted between 30% and 40%.
0 probabilities forecasted between 40% and 50%.
0 probabilities forecasted between 50% and 60%.
140 probabilities forecasted between 60% and 70%; actual occurrence rate 72.14%.
21 probabilities forecasted between 70% and 80%; actual occurrence rate 80.95%.
790 probabilities forecasted between 80% and 90%; actual occurrence rate 88.35%.
0 probabilities forecasted between 90% and 100%.</v>
      </c>
      <c r="L22" t="str">
        <f>IF(COUNTIF(D$4:D22,D22)=1,"No","Yes")</f>
        <v>Yes</v>
      </c>
    </row>
    <row r="23" spans="1:12" hidden="1" x14ac:dyDescent="0.55000000000000004">
      <c r="A23" s="8" cm="1">
        <f t="array" ref="A23:K23">_xlfn.XLOOKUP(MAX(_xlfn.CHOOSECOLS(uniformAll, 3)), _xlfn.CHOOSECOLS(uniformAll, 3), uniformAll)</f>
        <v>31705.641</v>
      </c>
      <c r="B23" s="5">
        <v>3.1705999999999999</v>
      </c>
      <c r="C23" s="7">
        <v>0.1147</v>
      </c>
      <c r="D23">
        <v>27.642545771578028</v>
      </c>
      <c r="E23" t="str">
        <v>uniform</v>
      </c>
      <c r="F23" t="str">
        <v>RegressionLearner_MC</v>
      </c>
      <c r="G23">
        <v>3.1688000000000001</v>
      </c>
      <c r="H23" t="str">
        <v>No</v>
      </c>
      <c r="I23" s="10">
        <v>0.1217</v>
      </c>
      <c r="J23" t="str">
        <v>No</v>
      </c>
      <c r="K23" s="6" t="str">
        <v>Symbol Machine processed 10000 out of 10000 symbols in sequence_uniform_test.mat.
Total penalty: 31705.641 bits (3.1706 bits per symbol).
Correctly predicted 11.470% of symbols.
0 probabilities forecasted between 0% and 1%.
0 probabilities forecasted between 1% and 5%.
0 probabilities forecasted between 5% and 10%.
90000 probabilities forecasted between 10% and 20%; actual occurrence rate 11.11%.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v>
      </c>
      <c r="L23" t="str">
        <f>IF(COUNTIF(D$4:D23,D23)=1,"No","Yes")</f>
        <v>Yes</v>
      </c>
    </row>
    <row r="24" spans="1:12" hidden="1" x14ac:dyDescent="0.55000000000000004">
      <c r="A24" s="8" cm="1">
        <f t="array" ref="A24:K24">_xlfn.XLOOKUP(MIN(_xlfn.CHOOSECOLS(DIAtempAll, 4)), _xlfn.CHOOSECOLS(DIAtempAll, 4), DIAtempAll)</f>
        <v>5401.1049999999996</v>
      </c>
      <c r="B24" s="5">
        <v>1.6432</v>
      </c>
      <c r="C24" s="7">
        <v>0.52997000000000005</v>
      </c>
      <c r="D24">
        <v>3.1005528614827251</v>
      </c>
      <c r="E24" t="str">
        <v>DIAtemp</v>
      </c>
      <c r="F24" t="str">
        <v>LSTM_Multichannel</v>
      </c>
      <c r="G24">
        <v>2.5186999999999999</v>
      </c>
      <c r="H24" t="str">
        <v>Yes</v>
      </c>
      <c r="I24" s="10">
        <v>0.22</v>
      </c>
      <c r="J24" t="str">
        <v>Yes</v>
      </c>
      <c r="K24" s="6" t="str">
        <v>Symbol Machine processed 3287 out of 3287 symbols in sequence_DIAtemp_test.mat.
Total penalty: 5401.105 bits (1.6432 bits per symbol).
Correctly predicted 52.997% of symbols.
13203 probabilities forecasted between 0% and 1%; actual occurrence rate 0.22%.
5590 probabilities forecasted between 1% and 5%; actual occurrence rate 1.48%.
1973 probabilities forecasted between 5% and 10%; actual occurrence rate 5.58%.
2216 probabilities forecasted between 10% and 20%; actual occurrence rate 15.07%.
1944 probabilities forecasted between 20% and 30%; actual occurrence rate 24.85%.
1620 probabilities forecasted between 30% and 40%; actual occurrence rate 37.96%.
1563 probabilities forecasted between 40% and 50%; actual occurrence rate 44.53%.
790 probabilities forecasted between 50% and 60%; actual occurrence rate 54.05%.
292 probabilities forecasted between 60% and 70%; actual occurrence rate 67.81%.
391 probabilities forecasted between 70% and 80%; actual occurrence rate 79.80%.
1 probabilities forecasted between 80% and 90%; actual occurrence rate 0.00%.
0 probabilities forecasted between 90% and 100%.</v>
      </c>
      <c r="L24" t="str">
        <f>IF(COUNTIF(D$4:D24,D24)=1,"No","Yes")</f>
        <v>Yes</v>
      </c>
    </row>
    <row r="25" spans="1:12" x14ac:dyDescent="0.55000000000000004">
      <c r="A25" s="8" cm="1">
        <f t="array" ref="A25:K25">_xlfn.XLOOKUP(MAX(_xlfn.CHOOSECOLS(selfadaptAll, 3)), _xlfn.CHOOSECOLS(selfadaptAll, 3), selfadaptAll)</f>
        <v>57520.485000000001</v>
      </c>
      <c r="B25" s="5">
        <v>5.7519999999999998</v>
      </c>
      <c r="C25" s="7">
        <v>0.1394</v>
      </c>
      <c r="D25">
        <v>41.262553802008611</v>
      </c>
      <c r="E25" t="str">
        <v>selfadapt</v>
      </c>
      <c r="F25" t="str">
        <v>NAR_NN</v>
      </c>
      <c r="G25">
        <v>2.6471</v>
      </c>
      <c r="H25" t="str">
        <v>No</v>
      </c>
      <c r="I25" s="10">
        <v>0.36120000000000002</v>
      </c>
      <c r="J25" t="str">
        <v>No</v>
      </c>
      <c r="K25" s="6" t="str">
        <v>Symbol Machine processed 10000 out of 10000 symbols in sequence_selfadapt_test.mat.
Total penalty: 57520.485 bits (5.7520 bits per symbol).
Correctly predicted 13.940% of symbols.
35019 probabilities forecasted between 0% and 1%; actual occurrence rate 10.70%.
14913 probabilities forecasted between 1% and 5%; actual occurrence rate 1.46%.
6863 probabilities forecasted between 5% and 10%; actual occurrence rate 6.05%.
11282 probabilities forecasted between 10% and 20%; actual occurrence rate 9.01%.
6335 probabilities forecasted between 20% and 30%; actual occurrence rate 28.43%.
15384 probabilities forecasted between 30% and 40%; actual occurrence rate 18.09%.
204 probabilities forecasted between 40% and 50%; actual occurrence rate 9.31%.
0 probabilities forecasted between 50% and 60%.
0 probabilities forecasted between 60% and 70%.
0 probabilities forecasted between 70% and 80%.
0 probabilities forecasted between 80% and 90%.
0 probabilities forecasted between 90% and 100%.</v>
      </c>
      <c r="L25" t="str">
        <f>IF(COUNTIF(D$4:D25,D25)=1,"No","Yes")</f>
        <v>No</v>
      </c>
    </row>
    <row r="26" spans="1:12" hidden="1" x14ac:dyDescent="0.55000000000000004">
      <c r="A26" s="8" cm="1">
        <f t="array" ref="A26:K26">_xlfn.XLOOKUP(MIN(_xlfn.CHOOSECOLS(DickensAll, 4)), _xlfn.CHOOSECOLS(DickensAll, 4), DickensAll)</f>
        <v>180907.03099999999</v>
      </c>
      <c r="B26" s="5">
        <v>2.4116</v>
      </c>
      <c r="C26" s="7">
        <v>0.42836000000000002</v>
      </c>
      <c r="D26">
        <v>5.6298440564011578</v>
      </c>
      <c r="E26" t="str">
        <v>Dickens</v>
      </c>
      <c r="F26" t="str">
        <v>LSTM_Multichannel</v>
      </c>
      <c r="G26">
        <v>2.9093</v>
      </c>
      <c r="H26" t="str">
        <v>Yes</v>
      </c>
      <c r="I26" s="10">
        <v>0.2893</v>
      </c>
      <c r="J26" t="str">
        <v>Yes</v>
      </c>
      <c r="K26" s="6" t="str">
        <v>Symbol Machine processed 75014 out of 75014 symbols in sequence_Dickens_test.mat.
Total penalty: 180907.031 bits (2.4116 bits per symbol).
Correctly predicted 42.836% of symbols.
109371 probabilities forecasted between 0% and 1%; actual occurrence rate 1.12%.
149169 probabilities forecasted between 1% and 5%; actual occurrence rate 2.93%.
159744 probabilities forecasted between 5% and 10%; actual occurrence rate 6.47%.
158111 probabilities forecasted between 10% and 20%; actual occurrence rate 13.13%.
51202 probabilities forecasted between 20% and 30%; actual occurrence rate 23.99%.
18620 probabilities forecasted between 30% and 40%; actual occurrence rate 35.85%.
8962 probabilities forecasted between 40% and 50%; actual occurrence rate 50.35%.
6716 probabilities forecasted between 50% and 60%; actual occurrence rate 59.84%.
4945 probabilities forecasted between 60% and 70%; actual occurrence rate 71.79%.
3949 probabilities forecasted between 70% and 80%; actual occurrence rate 83.62%.
3203 probabilities forecasted between 80% and 90%; actual occurrence rate 90.01%.
1134 probabilities forecasted between 90% and 100%; actual occurrence rate 95.94%.</v>
      </c>
      <c r="L26" t="str">
        <f>IF(COUNTIF(D$4:D26,D26)=1,"No","Yes")</f>
        <v>Yes</v>
      </c>
    </row>
    <row r="27" spans="1:12" hidden="1" x14ac:dyDescent="0.55000000000000004">
      <c r="A27" s="8" cm="1">
        <f t="array" ref="A27:K27">_xlfn.XLOOKUP(MIN(_xlfn.CHOOSECOLS(HawaiianAll, 4)), _xlfn.CHOOSECOLS(HawaiianAll, 4), HawaiianAll)</f>
        <v>9691.6569999999992</v>
      </c>
      <c r="B27" s="5">
        <v>1.7141</v>
      </c>
      <c r="C27" s="7">
        <v>0.62133000000000005</v>
      </c>
      <c r="D27">
        <v>2.7587594354046963</v>
      </c>
      <c r="E27" t="str">
        <v>Hawaiian</v>
      </c>
      <c r="F27" t="str">
        <v>LSTM_Multichannel</v>
      </c>
      <c r="G27">
        <v>2.0611000000000002</v>
      </c>
      <c r="H27" t="str">
        <v>Yes</v>
      </c>
      <c r="I27" s="10">
        <v>0.42470000000000002</v>
      </c>
      <c r="J27" t="str">
        <v>Yes</v>
      </c>
      <c r="K27" s="6" t="str">
        <v>Symbol Machine processed 5654 out of 5654 symbols in sequence_Hawaiian_test.mat.
Total penalty: 9691.657 bits (1.7141 bits per symbol).
Correctly predicted 62.133% of symbols.
13542 probabilities forecasted between 0% and 1%; actual occurrence rate 0.54%.
16927 probabilities forecasted between 1% and 5%; actual occurrence rate 1.81%.
6570 probabilities forecasted between 5% and 10%; actual occurrence rate 5.91%.
5302 probabilities forecasted between 10% and 20%; actual occurrence rate 14.26%.
3079 probabilities forecasted between 20% and 30%; actual occurrence rate 21.76%.
1182 probabilities forecasted between 30% and 40%; actual occurrence rate 32.40%.
913 probabilities forecasted between 40% and 50%; actual occurrence rate 53.89%.
1044 probabilities forecasted between 50% and 60%; actual occurrence rate 61.30%.
862 probabilities forecasted between 60% and 70%; actual occurrence rate 71.11%.
434 probabilities forecasted between 70% and 80%; actual occurrence rate 78.11%.
428 probabilities forecasted between 80% and 90%; actual occurrence rate 94.16%.
603 probabilities forecasted between 90% and 100%; actual occurrence rate 97.84%.</v>
      </c>
      <c r="L27" t="str">
        <f>IF(COUNTIF(D$4:D27,D27)=1,"No","Yes")</f>
        <v>Yes</v>
      </c>
    </row>
    <row r="28" spans="1:12" hidden="1" x14ac:dyDescent="0.55000000000000004">
      <c r="A28" s="8" cm="1">
        <f t="array" ref="A28:K28">_xlfn.XLOOKUP(MIN(_xlfn.CHOOSECOLS(heart1All, 4)), _xlfn.CHOOSECOLS(heart1All, 4), heart1All)</f>
        <v>1010.985</v>
      </c>
      <c r="B28" s="5">
        <v>1.1233</v>
      </c>
      <c r="C28" s="7">
        <v>0.73777999999999999</v>
      </c>
      <c r="D28">
        <v>1.5225405947572446</v>
      </c>
      <c r="E28" t="str">
        <v>heart1</v>
      </c>
      <c r="F28" t="str">
        <v>NN_NoLSTM</v>
      </c>
      <c r="G28">
        <v>2.6314000000000002</v>
      </c>
      <c r="H28" t="str">
        <v>Yes</v>
      </c>
      <c r="I28" s="10">
        <v>0.26219999999999999</v>
      </c>
      <c r="J28" t="str">
        <v>Yes</v>
      </c>
      <c r="K28" s="6" t="str">
        <v>Symbol Machine processed 900 out of 900 symbols in sequence_heart1_test.mat.
Total penalty: 1010.985 bits (1.1233 bits per symbol).
Correctly predicted 73.778% of symbols.
5445 probabilities forecasted between 0% and 1%; actual occurrence rate 0.18%.
181 probabilities forecasted between 1% and 5%; actual occurrence rate 4.42%.
636 probabilities forecasted between 5% and 10%; actual occurrence rate 9.91%.
623 probabilities forecasted between 10% and 20%; actual occurrence rate 12.36%.
269 probabilities forecasted between 20% and 30%; actual occurrence rate 13.75%.
0 probabilities forecasted between 30% and 40%.
98 probabilities forecasted between 40% and 50%; actual occurrence rate 48.98%.
0 probabilities forecasted between 50% and 60%.
0 probabilities forecasted between 60% and 70%.
504 probabilities forecasted between 70% and 80%; actual occurrence rate 78.57%.
338 probabilities forecasted between 80% and 90%; actual occurrence rate 76.33%.
6 probabilities forecasted between 90% and 100%; actual occurrence rate 50.00%.</v>
      </c>
      <c r="L28" t="str">
        <f>IF(COUNTIF(D$4:D28,D28)=1,"No","Yes")</f>
        <v>Yes</v>
      </c>
    </row>
    <row r="29" spans="1:12" hidden="1" x14ac:dyDescent="0.55000000000000004">
      <c r="A29" s="8" cm="1">
        <f t="array" ref="A29:K29">_xlfn.XLOOKUP(MIN(_xlfn.CHOOSECOLS(heart2All, 4)), _xlfn.CHOOSECOLS(heart2All, 4), heart2All)</f>
        <v>824.899</v>
      </c>
      <c r="B29" s="5">
        <v>0.91659999999999997</v>
      </c>
      <c r="C29" s="7">
        <v>0.81444000000000005</v>
      </c>
      <c r="D29">
        <v>1.1254358823240507</v>
      </c>
      <c r="E29" t="str">
        <v>heart2</v>
      </c>
      <c r="F29" t="str">
        <v>NN_NoLSTM</v>
      </c>
      <c r="G29">
        <v>2.4636</v>
      </c>
      <c r="H29" t="str">
        <v>Yes</v>
      </c>
      <c r="I29" s="10">
        <v>0.27889999999999998</v>
      </c>
      <c r="J29" t="str">
        <v>Yes</v>
      </c>
      <c r="K29" s="9" t="str">
        <v>Symbol Machine processed 900 out of 900 symbols in sequence_heart2_test.mat.
Total penalty: 824.899 bits (0.9166 bits per symbol).
Correctly predicted 81.444% of symbols.
5500 probabilities forecasted between 0% and 1%; actual occurrence rate 0.05%.
687 probabilities forecasted between 1% and 5%; actual occurrence rate 8.15%.
646 probabilities forecasted between 5% and 10%; actual occurrence rate 9.60%.
368 probabilities forecasted between 10% and 20%; actual occurrence rate 12.50%.
0 probabilities forecasted between 20% and 30%.
0 probabilities forecasted between 30% and 40%.
0 probabilities forecasted between 40% and 50%.
0 probabilities forecasted between 50% and 60%.
0 probabilities forecasted between 60% and 70%.
303 probabilities forecasted between 70% and 80%; actual occurrence rate 77.56%.
242 probabilities forecasted between 80% and 90%; actual occurrence rate 77.69%.
354 probabilities forecasted between 90% and 100%; actual occurrence rate 87.57%.</v>
      </c>
      <c r="L29" t="str">
        <f>IF(COUNTIF(D$4:D29,D29)=1,"No","Yes")</f>
        <v>Yes</v>
      </c>
    </row>
    <row r="30" spans="1:12" hidden="1" x14ac:dyDescent="0.55000000000000004">
      <c r="A30" s="8" cm="1">
        <f t="array" ref="A30:K30">_xlfn.XLOOKUP(MIN(_xlfn.CHOOSECOLS(nonuniformAll, 4)), _xlfn.CHOOSECOLS(nonuniformAll, 4), nonuniformAll)</f>
        <v>29146.080000000002</v>
      </c>
      <c r="B30" s="5">
        <v>2.9146000000000001</v>
      </c>
      <c r="C30" s="7">
        <v>0.17630000000000001</v>
      </c>
      <c r="D30">
        <v>16.532047646057855</v>
      </c>
      <c r="E30" t="str">
        <v>nonuniform</v>
      </c>
      <c r="F30" t="str">
        <v>RegressionLearner</v>
      </c>
      <c r="G30">
        <v>2.6530999999999998</v>
      </c>
      <c r="H30" t="str">
        <v>No</v>
      </c>
      <c r="I30" s="10">
        <v>0.34549999999999997</v>
      </c>
      <c r="J30" t="str">
        <v>No</v>
      </c>
      <c r="K30" s="9" t="str">
        <v>Symbol Machine processed 10000 out of 10000 symbols in sequence_nonuniform_test.mat.
Total penalty: 29146.080 bits (2.9146 bits per symbol).
Correctly predicted 17.630% of symbols.
10000 probabilities forecasted between 0% and 1%; actual occurrence rate 2.22%.
10000 probabilities forecasted between 1% and 5%; actual occurrence rate 4.37%.
20000 probabilities forecasted between 5% and 10%; actual occurrence rate 5.29%.
40000 probabilities forecasted between 10% and 20%; actual occurrence rate 16.30%.
10000 probabilities forecasted between 20% and 30%; actual occurrence rate 17.63%.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v>
      </c>
      <c r="L30" t="str">
        <f>IF(COUNTIF(D$4:D30,D30)=1,"No","Yes")</f>
        <v>Yes</v>
      </c>
    </row>
    <row r="31" spans="1:12" hidden="1" x14ac:dyDescent="0.55000000000000004">
      <c r="A31" s="8" cm="1">
        <f t="array" ref="A31:K31">_xlfn.XLOOKUP(MIN(_xlfn.CHOOSECOLS(selfadaptAll, 4)), _xlfn.CHOOSECOLS(selfadaptAll, 4), selfadaptAll)</f>
        <v>33163.557000000001</v>
      </c>
      <c r="B31" s="5">
        <v>3.3163999999999998</v>
      </c>
      <c r="C31" s="7">
        <v>0.10730000000000001</v>
      </c>
      <c r="D31">
        <v>30.907735321528421</v>
      </c>
      <c r="E31" t="str">
        <v>selfadapt</v>
      </c>
      <c r="F31" t="str">
        <v>NAR_NN</v>
      </c>
      <c r="G31">
        <v>2.6471</v>
      </c>
      <c r="H31" t="str">
        <v>No</v>
      </c>
      <c r="I31" s="10">
        <v>0.36120000000000002</v>
      </c>
      <c r="J31" t="str">
        <v>No</v>
      </c>
      <c r="K31" s="9" t="str">
        <v>Symbol Machine processed 10000 out of 10000 symbols in sequence_selfadapt_test.mat.
Total penalty: 33163.557 bits (3.3164 bits per symbol).
Correctly predicted 10.730% of symbols.
0 probabilities forecasted between 0% and 1%.
19998 probabilities forecasted between 1% and 5%; actual occurrence rate 8.26%.
13633 probabilities forecasted between 5% and 10%; actual occurrence rate 14.86%.
56369 probabilities forecasted between 10% and 20%; actual occurrence rate 11.22%.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v>
      </c>
      <c r="L31" t="str">
        <f>IF(COUNTIF(D$4:D31,D31)=1,"No","Yes")</f>
        <v>Yes</v>
      </c>
    </row>
    <row r="32" spans="1:12" hidden="1" x14ac:dyDescent="0.55000000000000004">
      <c r="A32" s="8" cm="1">
        <f t="array" ref="A32:K32">_xlfn.XLOOKUP(MIN(_xlfn.CHOOSECOLS(solarWindAll, 4)), _xlfn.CHOOSECOLS(solarWindAll, 4), solarWindAll)</f>
        <v>712.35400000000004</v>
      </c>
      <c r="B32" s="5">
        <v>0.74829999999999997</v>
      </c>
      <c r="C32" s="7">
        <v>0.85714000000000001</v>
      </c>
      <c r="D32">
        <v>0.87301957673192243</v>
      </c>
      <c r="E32" t="str">
        <v>solarWind</v>
      </c>
      <c r="F32" t="str">
        <v>NN_NoLSTM</v>
      </c>
      <c r="G32">
        <v>1.9595</v>
      </c>
      <c r="H32" t="str">
        <v>Yes</v>
      </c>
      <c r="I32" s="10">
        <v>0.4758</v>
      </c>
      <c r="J32" t="str">
        <v>Yes</v>
      </c>
      <c r="K32" s="9" t="str">
        <v>Symbol Machine processed 952 out of 952 symbols in sequence_solarWind_test.mat.
Total penalty: 712.354 bits (0.7483 bits per symbol).
Correctly predicted 85.714% of symbols.
5685 probabilities forecasted between 0% and 1%; actual occurrence rate 0.02%.
474 probabilities forecasted between 1% and 5%; actual occurrence rate 6.75%.
1130 probabilities forecasted between 5% and 10%; actual occurrence rate 5.31%.
197 probabilities forecasted between 10% and 20%; actual occurrence rate 6.60%.
131 probabilities forecasted between 20% and 30%; actual occurrence rate 22.90%.
0 probabilities forecasted between 30% and 40%.
0 probabilities forecasted between 40% and 50%.
0 probabilities forecasted between 50% and 60%.
140 probabilities forecasted between 60% and 70%; actual occurrence rate 72.14%.
21 probabilities forecasted between 70% and 80%; actual occurrence rate 80.95%.
790 probabilities forecasted between 80% and 90%; actual occurrence rate 88.35%.
0 probabilities forecasted between 90% and 100%.</v>
      </c>
      <c r="L32" t="str">
        <f>IF(COUNTIF(D$4:D32,D32)=1,"No","Yes")</f>
        <v>Yes</v>
      </c>
    </row>
    <row r="33" spans="1:12" hidden="1" x14ac:dyDescent="0.55000000000000004">
      <c r="A33" s="8" cm="1">
        <f t="array" ref="A33:K33">_xlfn.XLOOKUP(MIN(_xlfn.CHOOSECOLS(uniformAll, 4)), _xlfn.CHOOSECOLS(uniformAll, 4), uniformAll)</f>
        <v>31705.641</v>
      </c>
      <c r="B33" s="5">
        <v>3.1705999999999999</v>
      </c>
      <c r="C33" s="7">
        <v>0.1147</v>
      </c>
      <c r="D33">
        <v>27.642545771578028</v>
      </c>
      <c r="E33" t="str">
        <v>uniform</v>
      </c>
      <c r="F33" t="str">
        <v>RegressionLearner_MC</v>
      </c>
      <c r="G33">
        <v>3.1688000000000001</v>
      </c>
      <c r="H33" t="str">
        <v>No</v>
      </c>
      <c r="I33" s="10">
        <v>0.1217</v>
      </c>
      <c r="J33" t="str">
        <v>No</v>
      </c>
      <c r="K33" s="9" t="str">
        <v>Symbol Machine processed 10000 out of 10000 symbols in sequence_uniform_test.mat.
Total penalty: 31705.641 bits (3.1706 bits per symbol).
Correctly predicted 11.470% of symbols.
0 probabilities forecasted between 0% and 1%.
0 probabilities forecasted between 1% and 5%.
0 probabilities forecasted between 5% and 10%.
90000 probabilities forecasted between 10% and 20%; actual occurrence rate 11.11%.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v>
      </c>
      <c r="L33" t="str">
        <f>IF(COUNTIF(D$4:D33,D33)=1,"No","Yes")</f>
        <v>Yes</v>
      </c>
    </row>
    <row r="34" spans="1:12" x14ac:dyDescent="0.55000000000000004">
      <c r="A34" s="26"/>
      <c r="B34" s="26"/>
      <c r="C34" s="27"/>
      <c r="F34" s="28"/>
      <c r="I34" s="10"/>
      <c r="K34" s="9"/>
    </row>
    <row r="65" spans="1:11" x14ac:dyDescent="0.55000000000000004">
      <c r="A65" s="8"/>
      <c r="B65" s="5"/>
      <c r="C65" s="7"/>
      <c r="I65" s="10"/>
      <c r="K65" s="9"/>
    </row>
    <row r="66" spans="1:11" x14ac:dyDescent="0.55000000000000004">
      <c r="A66" s="8"/>
      <c r="B66" s="5"/>
      <c r="C66" s="7"/>
      <c r="I66" s="10"/>
      <c r="K66" s="9"/>
    </row>
    <row r="67" spans="1:11" x14ac:dyDescent="0.55000000000000004">
      <c r="A67" s="8"/>
      <c r="B67" s="5"/>
      <c r="C67" s="7"/>
      <c r="I67" s="10"/>
      <c r="K67" s="9"/>
    </row>
    <row r="68" spans="1:11" x14ac:dyDescent="0.55000000000000004">
      <c r="A68" s="8"/>
      <c r="B68" s="5"/>
      <c r="C68" s="11"/>
      <c r="I68" s="10"/>
    </row>
    <row r="69" spans="1:11" x14ac:dyDescent="0.55000000000000004">
      <c r="A69" s="8"/>
      <c r="B69" s="5"/>
      <c r="C69" s="7"/>
      <c r="I69" s="10"/>
    </row>
    <row r="70" spans="1:11" x14ac:dyDescent="0.55000000000000004">
      <c r="A70" s="8"/>
      <c r="B70" s="5"/>
      <c r="C70" s="7"/>
      <c r="I70" s="10"/>
    </row>
    <row r="71" spans="1:11" x14ac:dyDescent="0.55000000000000004">
      <c r="A71" s="8"/>
      <c r="B71" s="5"/>
      <c r="C71" s="7"/>
      <c r="I71" s="10"/>
    </row>
    <row r="72" spans="1:11" x14ac:dyDescent="0.55000000000000004">
      <c r="A72" s="8"/>
      <c r="B72" s="5"/>
      <c r="C72" s="7"/>
      <c r="I72" s="10"/>
    </row>
    <row r="73" spans="1:11" x14ac:dyDescent="0.55000000000000004">
      <c r="A73" s="8"/>
      <c r="B73" s="5"/>
      <c r="C73" s="7"/>
      <c r="I73" s="10"/>
    </row>
    <row r="74" spans="1:11" x14ac:dyDescent="0.55000000000000004">
      <c r="A74" s="8"/>
      <c r="B74" s="5"/>
      <c r="C74" s="7"/>
      <c r="I74" s="10"/>
    </row>
    <row r="75" spans="1:11" x14ac:dyDescent="0.55000000000000004">
      <c r="A75" s="8"/>
      <c r="B75" s="5"/>
      <c r="C75" s="7"/>
      <c r="I75" s="10"/>
    </row>
    <row r="76" spans="1:11" x14ac:dyDescent="0.55000000000000004">
      <c r="A76" s="8"/>
      <c r="B76" s="5"/>
      <c r="C76" s="7"/>
      <c r="I76" s="10"/>
    </row>
    <row r="77" spans="1:11" x14ac:dyDescent="0.55000000000000004">
      <c r="A77" s="8"/>
      <c r="B77" s="5"/>
      <c r="C77" s="7"/>
      <c r="I77" s="10"/>
    </row>
    <row r="78" spans="1:11" x14ac:dyDescent="0.55000000000000004">
      <c r="A78" s="8"/>
      <c r="B78" s="5"/>
      <c r="C78" s="7"/>
      <c r="I78" s="10"/>
      <c r="K78" s="9"/>
    </row>
    <row r="79" spans="1:11" x14ac:dyDescent="0.55000000000000004">
      <c r="A79" s="8"/>
      <c r="B79" s="5"/>
      <c r="C79" s="7"/>
      <c r="I79" s="10"/>
      <c r="K79" s="9"/>
    </row>
    <row r="80" spans="1:11" x14ac:dyDescent="0.55000000000000004">
      <c r="A80" s="8"/>
      <c r="B80" s="5"/>
      <c r="C80" s="7"/>
      <c r="I80" s="10"/>
      <c r="K80" s="9"/>
    </row>
    <row r="81" spans="1:11" x14ac:dyDescent="0.55000000000000004">
      <c r="A81" s="8"/>
      <c r="B81" s="5"/>
      <c r="C81" s="7"/>
      <c r="I81" s="10"/>
      <c r="K81" s="9"/>
    </row>
    <row r="82" spans="1:11" x14ac:dyDescent="0.55000000000000004">
      <c r="A82" s="8"/>
      <c r="B82" s="5"/>
      <c r="C82" s="7"/>
      <c r="I82" s="10"/>
      <c r="K82" s="9"/>
    </row>
    <row r="83" spans="1:11" x14ac:dyDescent="0.55000000000000004">
      <c r="A83" s="8"/>
      <c r="B83" s="5"/>
      <c r="C83" s="7"/>
      <c r="I83" s="10"/>
      <c r="K83" s="9"/>
    </row>
    <row r="84" spans="1:11" x14ac:dyDescent="0.55000000000000004">
      <c r="A84" s="8"/>
      <c r="B84" s="5"/>
      <c r="C84" s="7"/>
      <c r="I84" s="10"/>
      <c r="K84" s="9"/>
    </row>
    <row r="85" spans="1:11" x14ac:dyDescent="0.55000000000000004">
      <c r="A85" s="8"/>
      <c r="B85" s="5"/>
      <c r="C85" s="7"/>
      <c r="I85" s="10"/>
      <c r="K85" s="9"/>
    </row>
    <row r="86" spans="1:11" x14ac:dyDescent="0.55000000000000004">
      <c r="A86" s="8"/>
      <c r="B86" s="5"/>
      <c r="C86" s="7"/>
      <c r="I86" s="10"/>
      <c r="K86" s="9"/>
    </row>
    <row r="87" spans="1:11" x14ac:dyDescent="0.55000000000000004">
      <c r="A87" s="8"/>
      <c r="B87" s="5"/>
      <c r="C87" s="7"/>
      <c r="I87" s="10"/>
      <c r="K87" s="9"/>
    </row>
    <row r="88" spans="1:11" x14ac:dyDescent="0.55000000000000004">
      <c r="A88" s="8"/>
      <c r="B88" s="5"/>
      <c r="C88" s="7"/>
      <c r="I88" s="10"/>
      <c r="K88" s="9"/>
    </row>
    <row r="89" spans="1:11" x14ac:dyDescent="0.55000000000000004">
      <c r="A89" s="8"/>
      <c r="B89" s="5"/>
      <c r="C89" s="7"/>
      <c r="I89" s="10"/>
      <c r="K89" s="9"/>
    </row>
    <row r="90" spans="1:11" x14ac:dyDescent="0.55000000000000004">
      <c r="A90" s="8"/>
      <c r="B90" s="5"/>
      <c r="C90" s="7"/>
      <c r="I90" s="10"/>
      <c r="K90" s="9"/>
    </row>
    <row r="91" spans="1:11" x14ac:dyDescent="0.55000000000000004">
      <c r="A91" s="8"/>
      <c r="B91" s="5"/>
      <c r="C91" s="7"/>
      <c r="I91" s="10"/>
      <c r="K91" s="9"/>
    </row>
    <row r="92" spans="1:11" x14ac:dyDescent="0.55000000000000004">
      <c r="A92" s="8"/>
      <c r="B92" s="5"/>
      <c r="C92" s="7"/>
      <c r="I92" s="10"/>
      <c r="K92" s="9"/>
    </row>
    <row r="93" spans="1:11" x14ac:dyDescent="0.55000000000000004">
      <c r="A93" s="8"/>
      <c r="B93" s="5"/>
      <c r="C93" s="7"/>
      <c r="I93" s="10"/>
      <c r="K93" s="9"/>
    </row>
    <row r="94" spans="1:11" x14ac:dyDescent="0.55000000000000004">
      <c r="A94" s="8"/>
      <c r="B94" s="5"/>
      <c r="C94" s="7"/>
      <c r="I94" s="10"/>
      <c r="K94" s="9"/>
    </row>
  </sheetData>
  <autoFilter ref="A3:L33" xr:uid="{2CC0C8FB-E109-49FB-BACF-D5CCB20887AF}">
    <filterColumn colId="11">
      <filters>
        <filter val="No"/>
      </filters>
    </filterColumn>
    <sortState xmlns:xlrd2="http://schemas.microsoft.com/office/spreadsheetml/2017/richdata2" ref="A4:L25">
      <sortCondition ref="B3:B33"/>
    </sortState>
  </autoFilter>
  <dataConsolidate/>
  <conditionalFormatting sqref="J34:K34 J4:K19 J65:J68 J20:J33">
    <cfRule type="cellIs" dxfId="5" priority="41" operator="equal">
      <formula>"No"</formula>
    </cfRule>
  </conditionalFormatting>
  <conditionalFormatting sqref="J69:K85">
    <cfRule type="cellIs" dxfId="4" priority="39" operator="equal">
      <formula>"No"</formula>
    </cfRule>
  </conditionalFormatting>
  <conditionalFormatting sqref="J86:J94">
    <cfRule type="cellIs" dxfId="3" priority="38" operator="equal">
      <formula>"No"</formula>
    </cfRule>
  </conditionalFormatting>
  <conditionalFormatting sqref="K86:K94">
    <cfRule type="cellIs" dxfId="2" priority="37" operator="equal">
      <formula>"No"</formula>
    </cfRule>
  </conditionalFormatting>
  <conditionalFormatting sqref="L4:L33">
    <cfRule type="cellIs" dxfId="1" priority="2" operator="equal">
      <formula>"Yes"</formula>
    </cfRule>
  </conditionalFormatting>
  <conditionalFormatting sqref="H3:H40">
    <cfRule type="cellIs" dxfId="0" priority="1" operator="equal">
      <formula>"No"</formula>
    </cfRule>
  </conditionalFormatting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191D92F43324A836179293DC37E23" ma:contentTypeVersion="9" ma:contentTypeDescription="Create a new document." ma:contentTypeScope="" ma:versionID="8d7567531e41bfee39057a284d4c2f74">
  <xsd:schema xmlns:xsd="http://www.w3.org/2001/XMLSchema" xmlns:xs="http://www.w3.org/2001/XMLSchema" xmlns:p="http://schemas.microsoft.com/office/2006/metadata/properties" xmlns:ns2="fb84e0bb-1cde-4d6f-86c3-6f90e923f65b" xmlns:ns3="b74a90c4-0882-4db5-b7d4-eb285d944b95" targetNamespace="http://schemas.microsoft.com/office/2006/metadata/properties" ma:root="true" ma:fieldsID="341adad72ec27dc121c7f53018128d4a" ns2:_="" ns3:_="">
    <xsd:import namespace="fb84e0bb-1cde-4d6f-86c3-6f90e923f65b"/>
    <xsd:import namespace="b74a90c4-0882-4db5-b7d4-eb285d944b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4e0bb-1cde-4d6f-86c3-6f90e923f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892c282-ceba-42ac-8ce1-c7c398cdd3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a90c4-0882-4db5-b7d4-eb285d944b9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c1d1d60-d7ff-4f6a-b178-c6085784c649}" ma:internalName="TaxCatchAll" ma:showField="CatchAllData" ma:web="b74a90c4-0882-4db5-b7d4-eb285d944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4a90c4-0882-4db5-b7d4-eb285d944b95" xsi:nil="true"/>
    <lcf76f155ced4ddcb4097134ff3c332f xmlns="fb84e0bb-1cde-4d6f-86c3-6f90e923f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8D8E9A-9112-49EF-A7A6-EF14366434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84e0bb-1cde-4d6f-86c3-6f90e923f65b"/>
    <ds:schemaRef ds:uri="b74a90c4-0882-4db5-b7d4-eb285d944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F2B8F0-A791-400D-A7E8-1B83368DC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4C4C5-22FF-490E-84C6-1948C2572ADE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fb84e0bb-1cde-4d6f-86c3-6f90e923f65b"/>
    <ds:schemaRef ds:uri="http://purl.org/dc/elements/1.1/"/>
    <ds:schemaRef ds:uri="b74a90c4-0882-4db5-b7d4-eb285d944b95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Sequences</vt:lpstr>
      <vt:lpstr>LSTM_Multichannel</vt:lpstr>
      <vt:lpstr>NN_NoLSTM</vt:lpstr>
      <vt:lpstr>NAR_NN</vt:lpstr>
      <vt:lpstr>RegressionLearner</vt:lpstr>
      <vt:lpstr>RegressionLearner_MC</vt:lpstr>
      <vt:lpstr>Compare All</vt:lpstr>
      <vt:lpstr>Best</vt:lpstr>
      <vt:lpstr>LSTM_Multichannel!_FilterDatabase</vt:lpstr>
      <vt:lpstr>Sequences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Dawson</dc:creator>
  <cp:keywords/>
  <dc:description/>
  <cp:lastModifiedBy>Dawson</cp:lastModifiedBy>
  <cp:revision/>
  <dcterms:created xsi:type="dcterms:W3CDTF">2023-04-29T16:35:19Z</dcterms:created>
  <dcterms:modified xsi:type="dcterms:W3CDTF">2023-05-11T22:06:45Z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0x010100BB1191D92F43324A836179293DC37E23</vt:lpwstr>
  </property>
  <property fmtid="{D5CDD505-2E9C-101B-9397-08002B2CF9AE}" pid="3" name="MediaServiceImageTags">
    <vt:lpwstr/>
  </property>
</Properties>
</file>