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Versions\GMS_Pro_2.1\Szenario\"/>
    </mc:Choice>
  </mc:AlternateContent>
  <xr:revisionPtr revIDLastSave="0" documentId="13_ncr:1_{26A96CCF-49D3-48C4-A413-C28C3E60936B}" xr6:coauthVersionLast="47" xr6:coauthVersionMax="47" xr10:uidLastSave="{00000000-0000-0000-0000-000000000000}"/>
  <bookViews>
    <workbookView xWindow="-109" yWindow="-109" windowWidth="26301" windowHeight="14169" tabRatio="801" xr2:uid="{00000000-000D-0000-FFFF-FFFF00000000}"/>
  </bookViews>
  <sheets>
    <sheet name="Aktuelle Wirtschaftsdaten" sheetId="4" r:id="rId1"/>
    <sheet name="GuV" sheetId="1" r:id="rId2"/>
    <sheet name="Bilanz" sheetId="2" r:id="rId3"/>
    <sheet name="LiquiditätsRechnung" sheetId="16" r:id="rId4"/>
    <sheet name="ErlösRechnung" sheetId="26" r:id="rId5"/>
    <sheet name="KostenRechnung 1" sheetId="14" r:id="rId6"/>
    <sheet name="KostenRechnung 2" sheetId="15" r:id="rId7"/>
    <sheet name="ErgebnisRechnung" sheetId="28" r:id="rId8"/>
    <sheet name="Fertigung" sheetId="5" r:id="rId9"/>
    <sheet name="Personal" sheetId="9" r:id="rId10"/>
    <sheet name="Anlagevermögen" sheetId="24" r:id="rId11"/>
    <sheet name="Vorräte" sheetId="21" r:id="rId12"/>
    <sheet name="Finanzwerte" sheetId="2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9" l="1"/>
  <c r="K18" i="1" l="1"/>
  <c r="K19" i="1"/>
  <c r="K16" i="1"/>
  <c r="K17" i="1"/>
  <c r="AF10" i="24" a="1"/>
  <c r="AF10" i="24"/>
  <c r="AF7" i="24" a="1"/>
  <c r="AF7" i="24" s="1"/>
  <c r="N5" i="2" l="1"/>
  <c r="N6" i="2"/>
  <c r="AF8" i="24" l="1"/>
  <c r="F75" i="14" l="1"/>
  <c r="C75" i="14"/>
  <c r="G75" i="14"/>
  <c r="L56" i="14"/>
  <c r="K56" i="14"/>
  <c r="K46" i="14"/>
  <c r="L46" i="14"/>
  <c r="L50" i="14"/>
  <c r="K50" i="14"/>
  <c r="K30" i="14"/>
  <c r="C23" i="26"/>
  <c r="C12" i="26"/>
  <c r="C10" i="26"/>
  <c r="F16" i="5" l="1"/>
  <c r="E21" i="5" l="1"/>
  <c r="D21" i="5"/>
  <c r="H10" i="5"/>
  <c r="O39" i="28" l="1"/>
  <c r="O38" i="28"/>
  <c r="O37" i="28"/>
  <c r="O36" i="28"/>
  <c r="O35" i="28"/>
  <c r="O34" i="28"/>
  <c r="O32" i="28"/>
  <c r="O31" i="28"/>
  <c r="O30" i="28"/>
  <c r="O29" i="28"/>
  <c r="O27" i="28"/>
  <c r="M39" i="28"/>
  <c r="L39" i="28"/>
  <c r="M38" i="28"/>
  <c r="L38" i="28"/>
  <c r="M37" i="28"/>
  <c r="L37" i="28"/>
  <c r="M36" i="28"/>
  <c r="L36" i="28"/>
  <c r="M35" i="28"/>
  <c r="L35" i="28"/>
  <c r="M34" i="28"/>
  <c r="L34" i="28"/>
  <c r="M32" i="28"/>
  <c r="L32" i="28"/>
  <c r="M31" i="28"/>
  <c r="L31" i="28"/>
  <c r="M30" i="28"/>
  <c r="L30" i="28"/>
  <c r="M29" i="28"/>
  <c r="L29" i="28"/>
  <c r="M27" i="28"/>
  <c r="L27" i="28"/>
  <c r="P45" i="28"/>
  <c r="O23" i="28"/>
  <c r="M23" i="28"/>
  <c r="L23" i="28"/>
  <c r="L6" i="28"/>
  <c r="J23" i="28"/>
  <c r="J38" i="28" s="1"/>
  <c r="H23" i="28"/>
  <c r="H27" i="28" s="1"/>
  <c r="G23" i="28"/>
  <c r="G36" i="28" s="1"/>
  <c r="F23" i="28"/>
  <c r="H6" i="28"/>
  <c r="F6" i="28"/>
  <c r="N2" i="28"/>
  <c r="L33" i="28" l="1"/>
  <c r="L40" i="28" s="1"/>
  <c r="O33" i="28"/>
  <c r="O40" i="28" s="1"/>
  <c r="M33" i="28"/>
  <c r="M40" i="28" s="1"/>
  <c r="F27" i="28"/>
  <c r="M14" i="28"/>
  <c r="J37" i="28"/>
  <c r="L14" i="28"/>
  <c r="G27" i="28"/>
  <c r="J29" i="28"/>
  <c r="J32" i="28"/>
  <c r="J34" i="28"/>
  <c r="G32" i="28"/>
  <c r="G37" i="28"/>
  <c r="J27" i="28"/>
  <c r="G30" i="28"/>
  <c r="G35" i="28"/>
  <c r="G39" i="28"/>
  <c r="H31" i="28"/>
  <c r="H30" i="28"/>
  <c r="J31" i="28"/>
  <c r="H35" i="28"/>
  <c r="J36" i="28"/>
  <c r="H39" i="28"/>
  <c r="H36" i="28"/>
  <c r="G29" i="28"/>
  <c r="G34" i="28"/>
  <c r="G38" i="28"/>
  <c r="H29" i="28"/>
  <c r="J30" i="28"/>
  <c r="H34" i="28"/>
  <c r="J35" i="28"/>
  <c r="H38" i="28"/>
  <c r="J39" i="28"/>
  <c r="H32" i="28"/>
  <c r="H37" i="28"/>
  <c r="G31" i="28"/>
  <c r="O42" i="28" l="1"/>
  <c r="O44" i="28" s="1"/>
  <c r="M42" i="28"/>
  <c r="M44" i="28" s="1"/>
  <c r="L42" i="28"/>
  <c r="L44" i="28" s="1"/>
  <c r="J33" i="28"/>
  <c r="J40" i="28" s="1"/>
  <c r="H33" i="28"/>
  <c r="H40" i="28" s="1"/>
  <c r="G33" i="28"/>
  <c r="G40" i="28" s="1"/>
  <c r="H42" i="28" l="1"/>
  <c r="H44" i="28" s="1"/>
  <c r="J42" i="28"/>
  <c r="J44" i="28" s="1"/>
  <c r="G42" i="28"/>
  <c r="G44" i="28" s="1"/>
  <c r="C16" i="24"/>
  <c r="C17" i="24"/>
  <c r="C18" i="24"/>
  <c r="C19" i="24"/>
  <c r="C20" i="24"/>
  <c r="C15" i="24"/>
  <c r="C9" i="24"/>
  <c r="M22" i="24"/>
  <c r="F22" i="5" s="1"/>
  <c r="M21" i="24"/>
  <c r="M17" i="24"/>
  <c r="M13" i="24"/>
  <c r="M8" i="24"/>
  <c r="M9" i="24"/>
  <c r="M7" i="24"/>
  <c r="F2" i="1"/>
  <c r="J2" i="2"/>
  <c r="F2" i="16"/>
  <c r="L2" i="26"/>
  <c r="L2" i="14"/>
  <c r="I2" i="15"/>
  <c r="G2" i="5"/>
  <c r="G2" i="9"/>
  <c r="X2" i="24"/>
  <c r="N2" i="21"/>
  <c r="T2" i="25"/>
  <c r="U28" i="25"/>
  <c r="O19" i="21"/>
  <c r="Y27" i="24"/>
  <c r="I34" i="9"/>
  <c r="I29" i="5"/>
  <c r="J92" i="15"/>
  <c r="M95" i="14"/>
  <c r="M32" i="26"/>
  <c r="G40" i="16"/>
  <c r="K19" i="2"/>
  <c r="G40" i="1"/>
  <c r="AC19" i="24" l="1"/>
  <c r="AC18" i="24"/>
  <c r="AC16" i="24"/>
  <c r="AC20" i="24"/>
  <c r="AC17" i="24"/>
  <c r="AC15" i="24"/>
  <c r="M16" i="24"/>
  <c r="AE15" i="24"/>
  <c r="AE16" i="24" s="1"/>
  <c r="AE17" i="24" s="1"/>
  <c r="AE18" i="24" s="1"/>
  <c r="AE19" i="24" s="1"/>
  <c r="AE20" i="24" s="1"/>
  <c r="AB15" i="24"/>
  <c r="F11" i="5"/>
  <c r="AC8" i="24" l="1"/>
  <c r="AC10" i="24" a="1"/>
  <c r="AC10" i="24" s="1"/>
  <c r="AB16" i="24"/>
  <c r="AF11" i="24"/>
  <c r="D65" i="14"/>
  <c r="C65" i="14" s="1"/>
  <c r="D66" i="14"/>
  <c r="C66" i="14" s="1"/>
  <c r="D67" i="14"/>
  <c r="C67" i="14" s="1"/>
  <c r="D68" i="14"/>
  <c r="C68" i="14" s="1"/>
  <c r="D69" i="14"/>
  <c r="D70" i="14"/>
  <c r="C70" i="14" s="1"/>
  <c r="D71" i="14"/>
  <c r="C71" i="14" s="1"/>
  <c r="D72" i="14"/>
  <c r="C72" i="14" s="1"/>
  <c r="D73" i="14"/>
  <c r="AB17" i="24" l="1"/>
  <c r="C73" i="14"/>
  <c r="E59" i="15" s="1"/>
  <c r="D58" i="15"/>
  <c r="E58" i="15"/>
  <c r="G72" i="14"/>
  <c r="G70" i="14"/>
  <c r="F67" i="14"/>
  <c r="F65" i="14"/>
  <c r="S13" i="25" a="1"/>
  <c r="S13" i="25" s="1"/>
  <c r="O13" i="25" a="1"/>
  <c r="O13" i="25" s="1"/>
  <c r="K13" i="25"/>
  <c r="P7" i="25"/>
  <c r="T7" i="25"/>
  <c r="O7" i="25"/>
  <c r="H10" i="9"/>
  <c r="I5" i="2"/>
  <c r="I6" i="2"/>
  <c r="G29" i="9"/>
  <c r="G31" i="9"/>
  <c r="G32" i="9"/>
  <c r="G30" i="9"/>
  <c r="AB18" i="24" l="1"/>
  <c r="N4" i="2"/>
  <c r="AB19" i="24" l="1"/>
  <c r="S7" i="25"/>
  <c r="L7" i="25"/>
  <c r="K7" i="25"/>
  <c r="AB20" i="24" l="1"/>
  <c r="H25" i="9"/>
  <c r="H24" i="9"/>
  <c r="AC7" i="24" l="1" a="1"/>
  <c r="AC7" i="24" s="1"/>
  <c r="AC11" i="24" s="1"/>
  <c r="X8" i="24"/>
  <c r="C33" i="16" s="1"/>
  <c r="E8" i="24"/>
  <c r="F8" i="24"/>
  <c r="G8" i="24"/>
  <c r="D8" i="24"/>
  <c r="T17" i="25"/>
  <c r="P17" i="25"/>
  <c r="L17" i="25"/>
  <c r="H17" i="25"/>
  <c r="R9" i="25"/>
  <c r="N9" i="25"/>
  <c r="J9" i="25"/>
  <c r="F9" i="25"/>
  <c r="D17" i="25"/>
  <c r="C8" i="24" l="1"/>
  <c r="C22" i="16" s="1"/>
  <c r="J10" i="24"/>
  <c r="F20" i="16" l="1"/>
  <c r="F26" i="1"/>
  <c r="U14" i="24"/>
  <c r="T14" i="24"/>
  <c r="S14" i="24"/>
  <c r="R14" i="24"/>
  <c r="Q14" i="24"/>
  <c r="P14" i="24"/>
  <c r="O14" i="24"/>
  <c r="N14" i="24"/>
  <c r="L17" i="21"/>
  <c r="I17" i="21"/>
  <c r="F17" i="21"/>
  <c r="C17" i="21"/>
  <c r="U20" i="24" l="1"/>
  <c r="T20" i="24"/>
  <c r="U10" i="24"/>
  <c r="T10" i="24"/>
  <c r="S10" i="24"/>
  <c r="R10" i="24"/>
  <c r="R20" i="24" l="1"/>
  <c r="S20" i="24"/>
  <c r="X7" i="24"/>
  <c r="R11" i="24" l="1"/>
  <c r="R24" i="24" s="1"/>
  <c r="T11" i="24"/>
  <c r="T24" i="24" s="1"/>
  <c r="U11" i="24"/>
  <c r="U24" i="24" s="1"/>
  <c r="S11" i="24"/>
  <c r="S24" i="24" s="1"/>
  <c r="C41" i="14" l="1"/>
  <c r="X10" i="24" a="1"/>
  <c r="X10" i="24" s="1"/>
  <c r="C44" i="14" s="1"/>
  <c r="E10" i="24" a="1"/>
  <c r="E10" i="24" s="1"/>
  <c r="C92" i="14" s="1"/>
  <c r="F10" i="24" a="1"/>
  <c r="F10" i="24" s="1"/>
  <c r="C93" i="14" s="1"/>
  <c r="G10" i="24" a="1"/>
  <c r="G10" i="24" s="1"/>
  <c r="D10" i="24" a="1"/>
  <c r="D10" i="24" s="1"/>
  <c r="F12" i="26"/>
  <c r="D11" i="26"/>
  <c r="D24" i="26" s="1"/>
  <c r="D5" i="26"/>
  <c r="L24" i="26"/>
  <c r="L27" i="26" s="1"/>
  <c r="L11" i="26"/>
  <c r="L14" i="26" s="1"/>
  <c r="K24" i="26"/>
  <c r="K11" i="26"/>
  <c r="K26" i="26"/>
  <c r="J26" i="26" s="1"/>
  <c r="L23" i="26"/>
  <c r="K23" i="26"/>
  <c r="K13" i="26"/>
  <c r="J13" i="26" s="1"/>
  <c r="L10" i="26"/>
  <c r="K10" i="26"/>
  <c r="E20" i="26"/>
  <c r="E7" i="26"/>
  <c r="C91" i="14" l="1"/>
  <c r="C10" i="24"/>
  <c r="J23" i="26"/>
  <c r="J10" i="26"/>
  <c r="F11" i="26"/>
  <c r="C94" i="14"/>
  <c r="F24" i="26"/>
  <c r="J11" i="26"/>
  <c r="L15" i="26"/>
  <c r="J24" i="26"/>
  <c r="L28" i="26"/>
  <c r="C24" i="26" l="1"/>
  <c r="M6" i="28" s="1"/>
  <c r="C11" i="26"/>
  <c r="G6" i="28" s="1"/>
  <c r="F8" i="16"/>
  <c r="C89" i="14"/>
  <c r="C7" i="26" l="1"/>
  <c r="C20" i="26"/>
  <c r="C5" i="26" l="1"/>
  <c r="G18" i="25"/>
  <c r="G13" i="25" s="1"/>
  <c r="E5" i="26" l="1"/>
  <c r="C7" i="16" s="1"/>
  <c r="F5" i="26"/>
  <c r="D13" i="2" s="1"/>
  <c r="C5" i="1"/>
  <c r="F9" i="9"/>
  <c r="C9" i="16"/>
  <c r="C13" i="25" l="1"/>
  <c r="D12" i="25"/>
  <c r="C12" i="25"/>
  <c r="K12" i="25"/>
  <c r="L12" i="25"/>
  <c r="D11" i="25"/>
  <c r="L11" i="25"/>
  <c r="K11" i="25"/>
  <c r="C11" i="25"/>
  <c r="C14" i="16"/>
  <c r="C13" i="16"/>
  <c r="C31" i="16" l="1"/>
  <c r="C15" i="16"/>
  <c r="C16" i="1"/>
  <c r="C11" i="16"/>
  <c r="C24" i="16"/>
  <c r="D14" i="2"/>
  <c r="C30" i="16"/>
  <c r="P12" i="25"/>
  <c r="C26" i="16" s="1"/>
  <c r="O12" i="25"/>
  <c r="P11" i="25"/>
  <c r="O11" i="25"/>
  <c r="C29" i="16"/>
  <c r="T12" i="25"/>
  <c r="C25" i="16" s="1"/>
  <c r="S12" i="25"/>
  <c r="T11" i="25"/>
  <c r="S11" i="25"/>
  <c r="I14" i="2"/>
  <c r="N17" i="25"/>
  <c r="N18" i="25" s="1"/>
  <c r="N19" i="25" s="1"/>
  <c r="N20" i="25" s="1"/>
  <c r="N21" i="25" s="1"/>
  <c r="N22" i="25" s="1"/>
  <c r="D20" i="5"/>
  <c r="E20" i="5"/>
  <c r="H17" i="9"/>
  <c r="I12" i="2" l="1"/>
  <c r="F17" i="25"/>
  <c r="F18" i="25" s="1"/>
  <c r="B17" i="25"/>
  <c r="B18" i="25" s="1"/>
  <c r="J17" i="25"/>
  <c r="J18" i="25" s="1"/>
  <c r="I13" i="2"/>
  <c r="I11" i="2"/>
  <c r="R17" i="25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F21" i="5" l="1"/>
  <c r="G22" i="5" s="1"/>
  <c r="G28" i="5" l="1"/>
  <c r="E28" i="5" s="1"/>
  <c r="D28" i="5" l="1"/>
  <c r="H6" i="21"/>
  <c r="E11" i="2" s="1"/>
  <c r="E14" i="21"/>
  <c r="E12" i="2" s="1"/>
  <c r="F28" i="5" l="1"/>
  <c r="H8" i="9"/>
  <c r="D6" i="9" l="1"/>
  <c r="D33" i="9" l="1"/>
  <c r="D7" i="9"/>
  <c r="D8" i="9"/>
  <c r="K16" i="21"/>
  <c r="M16" i="21"/>
  <c r="L16" i="21"/>
  <c r="F16" i="21"/>
  <c r="K7" i="21"/>
  <c r="E7" i="21"/>
  <c r="D32" i="9" l="1"/>
  <c r="D29" i="9"/>
  <c r="D30" i="9" s="1"/>
  <c r="D31" i="9" s="1"/>
  <c r="L18" i="21"/>
  <c r="M18" i="21" s="1"/>
  <c r="M17" i="21" a="1"/>
  <c r="M17" i="21" s="1"/>
  <c r="N16" i="21"/>
  <c r="G17" i="21" a="1"/>
  <c r="G17" i="21" s="1"/>
  <c r="F18" i="21"/>
  <c r="G33" i="9" l="1"/>
  <c r="H9" i="5" s="1"/>
  <c r="J7" i="24"/>
  <c r="J11" i="24" s="1"/>
  <c r="M25" i="24" s="1"/>
  <c r="M26" i="24" s="1"/>
  <c r="D6" i="2" l="1"/>
  <c r="D9" i="5" l="1"/>
  <c r="D10" i="5" s="1"/>
  <c r="E9" i="5"/>
  <c r="E10" i="5" s="1"/>
  <c r="C10" i="16"/>
  <c r="N20" i="24"/>
  <c r="E15" i="5" l="1"/>
  <c r="D15" i="5"/>
  <c r="F15" i="5" s="1"/>
  <c r="C48" i="14"/>
  <c r="Q20" i="24"/>
  <c r="P20" i="24"/>
  <c r="O20" i="24"/>
  <c r="Q10" i="24"/>
  <c r="Q11" i="24" s="1"/>
  <c r="Q24" i="24" s="1"/>
  <c r="N10" i="24"/>
  <c r="O10" i="24"/>
  <c r="O11" i="24" s="1"/>
  <c r="O24" i="24" s="1"/>
  <c r="P10" i="24"/>
  <c r="P11" i="24" s="1"/>
  <c r="P24" i="24" s="1"/>
  <c r="B15" i="24"/>
  <c r="W15" i="24"/>
  <c r="W16" i="24" s="1"/>
  <c r="C27" i="16"/>
  <c r="C28" i="16"/>
  <c r="F13" i="16"/>
  <c r="C46" i="14" l="1"/>
  <c r="E91" i="15"/>
  <c r="M20" i="24"/>
  <c r="M10" i="24"/>
  <c r="F10" i="5"/>
  <c r="J48" i="14"/>
  <c r="J46" i="14" s="1"/>
  <c r="N11" i="24"/>
  <c r="M11" i="24" s="1"/>
  <c r="D7" i="2" s="1"/>
  <c r="B16" i="24"/>
  <c r="F16" i="16"/>
  <c r="W17" i="24"/>
  <c r="I46" i="14" l="1"/>
  <c r="C12" i="1"/>
  <c r="F14" i="16" s="1"/>
  <c r="G27" i="5"/>
  <c r="E27" i="5" s="1"/>
  <c r="G26" i="5"/>
  <c r="E26" i="5" s="1"/>
  <c r="D26" i="5" s="1"/>
  <c r="F26" i="5" s="1"/>
  <c r="G11" i="5"/>
  <c r="N24" i="24"/>
  <c r="M24" i="24" s="1"/>
  <c r="B17" i="24"/>
  <c r="W18" i="24"/>
  <c r="D27" i="5" l="1"/>
  <c r="E6" i="5"/>
  <c r="E23" i="5" s="1"/>
  <c r="B18" i="24"/>
  <c r="W19" i="24"/>
  <c r="F27" i="5" l="1"/>
  <c r="D6" i="5"/>
  <c r="D23" i="5" s="1"/>
  <c r="F23" i="5" s="1"/>
  <c r="H23" i="5" s="1"/>
  <c r="B19" i="24"/>
  <c r="W20" i="24"/>
  <c r="B20" i="24" l="1"/>
  <c r="W21" i="24"/>
  <c r="J8" i="21"/>
  <c r="G8" i="21"/>
  <c r="D8" i="21"/>
  <c r="H7" i="21"/>
  <c r="F7" i="24" l="1" a="1"/>
  <c r="F7" i="24" s="1"/>
  <c r="F11" i="24" s="1"/>
  <c r="D7" i="24" a="1"/>
  <c r="D7" i="24" s="1"/>
  <c r="G7" i="24" a="1"/>
  <c r="G7" i="24" s="1"/>
  <c r="G11" i="24" s="1"/>
  <c r="E7" i="24" a="1"/>
  <c r="E7" i="24" s="1"/>
  <c r="E11" i="24" s="1"/>
  <c r="W22" i="24"/>
  <c r="D11" i="24" l="1"/>
  <c r="C11" i="24" s="1"/>
  <c r="D5" i="2" s="1"/>
  <c r="C7" i="24"/>
  <c r="W23" i="24"/>
  <c r="W24" i="24" s="1"/>
  <c r="W25" i="24" l="1"/>
  <c r="X11" i="24" l="1"/>
  <c r="D8" i="2" s="1"/>
  <c r="F21" i="16"/>
  <c r="F19" i="16"/>
  <c r="C8" i="16"/>
  <c r="F5" i="16"/>
  <c r="C5" i="16"/>
  <c r="D59" i="15"/>
  <c r="E56" i="15"/>
  <c r="D56" i="15"/>
  <c r="E55" i="15"/>
  <c r="M13" i="28" s="1"/>
  <c r="D55" i="15"/>
  <c r="G13" i="28" s="1"/>
  <c r="E54" i="15"/>
  <c r="D54" i="15"/>
  <c r="G87" i="14"/>
  <c r="G83" i="14" s="1"/>
  <c r="F86" i="14"/>
  <c r="F83" i="14" s="1"/>
  <c r="K85" i="14"/>
  <c r="K83" i="14" s="1"/>
  <c r="L83" i="14"/>
  <c r="J83" i="14"/>
  <c r="I83" i="14"/>
  <c r="C83" i="14"/>
  <c r="G81" i="14"/>
  <c r="G80" i="14"/>
  <c r="F79" i="14"/>
  <c r="D79" i="14"/>
  <c r="D81" i="14" s="1"/>
  <c r="F78" i="14"/>
  <c r="K77" i="14"/>
  <c r="K75" i="14" s="1"/>
  <c r="L75" i="14"/>
  <c r="J75" i="14"/>
  <c r="I75" i="14"/>
  <c r="G73" i="14"/>
  <c r="F68" i="14"/>
  <c r="D64" i="14"/>
  <c r="D58" i="14"/>
  <c r="K52" i="14"/>
  <c r="I52" i="14"/>
  <c r="K44" i="14"/>
  <c r="I41" i="14"/>
  <c r="D28" i="14"/>
  <c r="C28" i="14" s="1"/>
  <c r="D27" i="14"/>
  <c r="D26" i="14"/>
  <c r="C26" i="14" s="1"/>
  <c r="D25" i="14"/>
  <c r="D21" i="14"/>
  <c r="D20" i="14"/>
  <c r="D19" i="14"/>
  <c r="D18" i="14"/>
  <c r="L10" i="14"/>
  <c r="L52" i="14" s="1"/>
  <c r="F92" i="14"/>
  <c r="F13" i="9"/>
  <c r="F14" i="9" s="1"/>
  <c r="E13" i="9"/>
  <c r="E14" i="9" s="1"/>
  <c r="D13" i="9"/>
  <c r="F6" i="9"/>
  <c r="E6" i="9"/>
  <c r="E7" i="9" s="1"/>
  <c r="G5" i="9"/>
  <c r="J16" i="2"/>
  <c r="E16" i="2"/>
  <c r="J9" i="2"/>
  <c r="E9" i="2"/>
  <c r="C31" i="1"/>
  <c r="C30" i="1"/>
  <c r="I4" i="2" l="1"/>
  <c r="D4" i="2"/>
  <c r="C32" i="1"/>
  <c r="I27" i="4"/>
  <c r="N19" i="4"/>
  <c r="N12" i="4"/>
  <c r="N5" i="4"/>
  <c r="D39" i="4"/>
  <c r="N31" i="4"/>
  <c r="I9" i="4"/>
  <c r="B2" i="4"/>
  <c r="I40" i="4"/>
  <c r="C59" i="15"/>
  <c r="C54" i="15"/>
  <c r="C56" i="15"/>
  <c r="G6" i="9"/>
  <c r="D24" i="9"/>
  <c r="E18" i="2"/>
  <c r="E8" i="9"/>
  <c r="E25" i="9" s="1"/>
  <c r="E24" i="9"/>
  <c r="D14" i="9"/>
  <c r="D15" i="9" s="1"/>
  <c r="J18" i="2"/>
  <c r="K41" i="14"/>
  <c r="K38" i="14" s="1"/>
  <c r="I44" i="14"/>
  <c r="E79" i="15"/>
  <c r="G93" i="14"/>
  <c r="D80" i="15"/>
  <c r="I5" i="4"/>
  <c r="F23" i="9"/>
  <c r="E23" i="9"/>
  <c r="D25" i="9"/>
  <c r="E15" i="9"/>
  <c r="G94" i="14"/>
  <c r="E80" i="15"/>
  <c r="D5" i="4"/>
  <c r="N28" i="4"/>
  <c r="D25" i="4"/>
  <c r="N42" i="4"/>
  <c r="C12" i="16"/>
  <c r="F25" i="16" s="1"/>
  <c r="I22" i="4"/>
  <c r="D18" i="4"/>
  <c r="C55" i="15"/>
  <c r="D11" i="4"/>
  <c r="D32" i="4"/>
  <c r="I35" i="4"/>
  <c r="J52" i="14"/>
  <c r="F15" i="9"/>
  <c r="L41" i="14"/>
  <c r="L44" i="14"/>
  <c r="L38" i="14" l="1"/>
  <c r="G89" i="14"/>
  <c r="F89" i="14" s="1"/>
  <c r="F66" i="14"/>
  <c r="D17" i="9"/>
  <c r="D21" i="9" s="1"/>
  <c r="C58" i="15"/>
  <c r="G71" i="14"/>
  <c r="D91" i="15"/>
  <c r="D23" i="9"/>
  <c r="E19" i="2"/>
  <c r="C80" i="15"/>
  <c r="J44" i="14"/>
  <c r="F22" i="16"/>
  <c r="F23" i="16" s="1"/>
  <c r="E22" i="9"/>
  <c r="F26" i="16"/>
  <c r="C34" i="16"/>
  <c r="J41" i="14"/>
  <c r="E77" i="15"/>
  <c r="E15" i="15" s="1"/>
  <c r="K16" i="28" s="1"/>
  <c r="C33" i="1"/>
  <c r="I7" i="2" s="1"/>
  <c r="F17" i="9"/>
  <c r="E17" i="9"/>
  <c r="E21" i="9" s="1"/>
  <c r="C91" i="15" l="1"/>
  <c r="F5" i="1"/>
  <c r="D9" i="2"/>
  <c r="E26" i="9"/>
  <c r="D61" i="15"/>
  <c r="J13" i="28" s="1"/>
  <c r="F26" i="14"/>
  <c r="E61" i="15"/>
  <c r="O13" i="28" s="1"/>
  <c r="G28" i="14"/>
  <c r="E18" i="9"/>
  <c r="F21" i="9"/>
  <c r="G9" i="9"/>
  <c r="F7" i="9"/>
  <c r="F8" i="9"/>
  <c r="F91" i="14"/>
  <c r="D79" i="15"/>
  <c r="C11" i="1"/>
  <c r="C35" i="14" l="1"/>
  <c r="K35" i="14" s="1"/>
  <c r="K7" i="14" s="1"/>
  <c r="F12" i="16"/>
  <c r="C61" i="15"/>
  <c r="F24" i="9"/>
  <c r="G24" i="9" s="1"/>
  <c r="G7" i="9"/>
  <c r="C79" i="15"/>
  <c r="C77" i="15" s="1"/>
  <c r="C15" i="15" s="1"/>
  <c r="D77" i="15"/>
  <c r="D15" i="15" s="1"/>
  <c r="E16" i="28" s="1"/>
  <c r="F25" i="9"/>
  <c r="G25" i="9" s="1"/>
  <c r="G8" i="9"/>
  <c r="G21" i="9"/>
  <c r="D16" i="28" l="1"/>
  <c r="F11" i="1"/>
  <c r="E89" i="15"/>
  <c r="E17" i="15" s="1"/>
  <c r="K18" i="28" s="1"/>
  <c r="C89" i="15" l="1"/>
  <c r="C17" i="15" s="1"/>
  <c r="D89" i="15"/>
  <c r="D17" i="15" s="1"/>
  <c r="E18" i="28" s="1"/>
  <c r="D18" i="28" l="1"/>
  <c r="F12" i="1"/>
  <c r="H11" i="25"/>
  <c r="H12" i="25"/>
  <c r="C17" i="1"/>
  <c r="K28" i="1" s="1"/>
  <c r="G18" i="21"/>
  <c r="G16" i="21"/>
  <c r="H16" i="21"/>
  <c r="E16" i="21"/>
  <c r="C32" i="16" l="1"/>
  <c r="F15" i="16" s="1"/>
  <c r="F28" i="16" s="1"/>
  <c r="E17" i="5" l="1"/>
  <c r="D17" i="5"/>
  <c r="D54" i="14"/>
  <c r="C53" i="14" s="1"/>
  <c r="D60" i="14"/>
  <c r="C59" i="14" s="1"/>
  <c r="C60" i="14" s="1"/>
  <c r="D43" i="14"/>
  <c r="C42" i="14" s="1"/>
  <c r="F17" i="5" l="1"/>
  <c r="H12" i="5" s="1"/>
  <c r="D12" i="5" s="1"/>
  <c r="C43" i="14"/>
  <c r="C38" i="14" s="1"/>
  <c r="C54" i="14"/>
  <c r="C50" i="14"/>
  <c r="E23" i="28"/>
  <c r="D11" i="14"/>
  <c r="D13" i="14"/>
  <c r="K23" i="28"/>
  <c r="D14" i="14"/>
  <c r="D12" i="14"/>
  <c r="C69" i="14"/>
  <c r="E57" i="15" s="1"/>
  <c r="L13" i="28" s="1"/>
  <c r="I9" i="21"/>
  <c r="I8" i="21" s="1"/>
  <c r="C64" i="14"/>
  <c r="F9" i="21"/>
  <c r="F8" i="21" s="1"/>
  <c r="C9" i="21"/>
  <c r="C8" i="21" s="1"/>
  <c r="J25" i="26"/>
  <c r="K25" i="26" s="1"/>
  <c r="K27" i="26" s="1"/>
  <c r="L29" i="26" s="1"/>
  <c r="L30" i="26" s="1"/>
  <c r="L31" i="26" s="1"/>
  <c r="I20" i="15"/>
  <c r="I17" i="15" s="1"/>
  <c r="J12" i="26"/>
  <c r="K12" i="26" s="1"/>
  <c r="K14" i="26" s="1"/>
  <c r="L16" i="26" s="1"/>
  <c r="L17" i="26" s="1"/>
  <c r="L18" i="26" s="1"/>
  <c r="H20" i="15"/>
  <c r="H15" i="15" s="1"/>
  <c r="C15" i="21"/>
  <c r="C18" i="21" s="1"/>
  <c r="I23" i="28" s="1"/>
  <c r="I35" i="28" s="1"/>
  <c r="I15" i="21"/>
  <c r="I18" i="21" s="1"/>
  <c r="N23" i="28" s="1"/>
  <c r="J59" i="14"/>
  <c r="J42" i="14"/>
  <c r="J53" i="14"/>
  <c r="D34" i="14" l="1"/>
  <c r="C58" i="14" s="1"/>
  <c r="E12" i="5"/>
  <c r="G16" i="9"/>
  <c r="H16" i="9" s="1"/>
  <c r="D16" i="9" s="1"/>
  <c r="J58" i="14"/>
  <c r="E49" i="15" s="1"/>
  <c r="C56" i="14"/>
  <c r="F64" i="14"/>
  <c r="C62" i="14"/>
  <c r="F62" i="14" s="1"/>
  <c r="F12" i="5"/>
  <c r="G69" i="14"/>
  <c r="G62" i="14" s="1"/>
  <c r="K30" i="28"/>
  <c r="O18" i="28"/>
  <c r="N15" i="28"/>
  <c r="N9" i="28"/>
  <c r="N17" i="28"/>
  <c r="M16" i="28"/>
  <c r="K34" i="28"/>
  <c r="N18" i="28"/>
  <c r="M15" i="28"/>
  <c r="M9" i="28"/>
  <c r="N16" i="28"/>
  <c r="O9" i="28"/>
  <c r="K37" i="28"/>
  <c r="M18" i="28"/>
  <c r="O11" i="28"/>
  <c r="N8" i="28"/>
  <c r="N11" i="28"/>
  <c r="M8" i="28"/>
  <c r="K39" i="28"/>
  <c r="K32" i="28"/>
  <c r="K29" i="28"/>
  <c r="M17" i="28"/>
  <c r="M11" i="28"/>
  <c r="M10" i="28"/>
  <c r="O16" i="28"/>
  <c r="N10" i="28"/>
  <c r="K38" i="28"/>
  <c r="K31" i="28"/>
  <c r="K27" i="28"/>
  <c r="O15" i="28"/>
  <c r="L9" i="28"/>
  <c r="L11" i="28"/>
  <c r="L16" i="28"/>
  <c r="L18" i="28"/>
  <c r="L8" i="28"/>
  <c r="O17" i="28"/>
  <c r="L15" i="28"/>
  <c r="L17" i="28"/>
  <c r="L10" i="28"/>
  <c r="K36" i="28"/>
  <c r="O8" i="28"/>
  <c r="K35" i="28"/>
  <c r="O10" i="28"/>
  <c r="E50" i="15"/>
  <c r="D50" i="15"/>
  <c r="N38" i="28"/>
  <c r="N34" i="28"/>
  <c r="N29" i="28"/>
  <c r="N37" i="28"/>
  <c r="N32" i="28"/>
  <c r="N27" i="28"/>
  <c r="N36" i="28"/>
  <c r="N31" i="28"/>
  <c r="N30" i="28"/>
  <c r="N39" i="28"/>
  <c r="N35" i="28"/>
  <c r="E48" i="15"/>
  <c r="D48" i="15"/>
  <c r="H16" i="28"/>
  <c r="F16" i="28"/>
  <c r="F37" i="28" s="1"/>
  <c r="E37" i="28"/>
  <c r="I16" i="28"/>
  <c r="I37" i="28" s="1"/>
  <c r="J16" i="28"/>
  <c r="G16" i="28"/>
  <c r="G18" i="28"/>
  <c r="I18" i="28"/>
  <c r="I39" i="28" s="1"/>
  <c r="F18" i="28"/>
  <c r="F39" i="28" s="1"/>
  <c r="H18" i="28"/>
  <c r="E39" i="28"/>
  <c r="J18" i="28"/>
  <c r="D57" i="15"/>
  <c r="F13" i="28" s="1"/>
  <c r="F34" i="28" s="1"/>
  <c r="K28" i="26"/>
  <c r="K15" i="26"/>
  <c r="I15" i="15"/>
  <c r="K29" i="26"/>
  <c r="K30" i="26" s="1"/>
  <c r="K31" i="26" s="1"/>
  <c r="J27" i="26"/>
  <c r="J28" i="26" s="1"/>
  <c r="I9" i="15"/>
  <c r="J14" i="26"/>
  <c r="J17" i="26" s="1"/>
  <c r="J18" i="26" s="1"/>
  <c r="K16" i="26"/>
  <c r="K17" i="26" s="1"/>
  <c r="K18" i="26" s="1"/>
  <c r="H17" i="15"/>
  <c r="J43" i="14"/>
  <c r="J38" i="14" s="1"/>
  <c r="I38" i="14" s="1"/>
  <c r="D85" i="15"/>
  <c r="E85" i="15"/>
  <c r="J54" i="14"/>
  <c r="J50" i="14" s="1"/>
  <c r="I50" i="14" s="1"/>
  <c r="D86" i="15"/>
  <c r="E86" i="15"/>
  <c r="C10" i="1"/>
  <c r="F9" i="16" s="1"/>
  <c r="D87" i="15"/>
  <c r="J60" i="14"/>
  <c r="E87" i="15"/>
  <c r="C25" i="14"/>
  <c r="C23" i="14" s="1"/>
  <c r="F10" i="21"/>
  <c r="H8" i="21"/>
  <c r="K8" i="21"/>
  <c r="I10" i="21"/>
  <c r="J9" i="21" a="1"/>
  <c r="J9" i="21" s="1"/>
  <c r="K9" i="21" s="1"/>
  <c r="C27" i="14"/>
  <c r="E8" i="21"/>
  <c r="C10" i="21"/>
  <c r="D9" i="21" a="1"/>
  <c r="D9" i="21" s="1"/>
  <c r="E9" i="21" s="1"/>
  <c r="D49" i="15" l="1"/>
  <c r="C49" i="15" s="1"/>
  <c r="J56" i="14"/>
  <c r="I56" i="14" s="1"/>
  <c r="F16" i="9"/>
  <c r="F22" i="9"/>
  <c r="F26" i="9" s="1"/>
  <c r="C32" i="14" s="1"/>
  <c r="F18" i="9"/>
  <c r="D22" i="9"/>
  <c r="D18" i="9"/>
  <c r="C20" i="16"/>
  <c r="K33" i="28"/>
  <c r="K40" i="28" s="1"/>
  <c r="K42" i="28" s="1"/>
  <c r="K44" i="28" s="1"/>
  <c r="D47" i="15"/>
  <c r="E47" i="15"/>
  <c r="E45" i="15" s="1"/>
  <c r="E10" i="15" s="1"/>
  <c r="C57" i="15"/>
  <c r="N33" i="28"/>
  <c r="N40" i="28" s="1"/>
  <c r="N42" i="28" s="1"/>
  <c r="N44" i="28" s="1"/>
  <c r="J15" i="26"/>
  <c r="J30" i="26"/>
  <c r="J31" i="26" s="1"/>
  <c r="C14" i="14"/>
  <c r="E27" i="15" s="1"/>
  <c r="C27" i="15" s="1"/>
  <c r="C48" i="15"/>
  <c r="C86" i="15"/>
  <c r="C85" i="15"/>
  <c r="E10" i="21"/>
  <c r="C87" i="15"/>
  <c r="C50" i="15"/>
  <c r="K10" i="21"/>
  <c r="C20" i="14"/>
  <c r="D60" i="15"/>
  <c r="I13" i="28" s="1"/>
  <c r="I34" i="28" s="1"/>
  <c r="F25" i="14"/>
  <c r="D10" i="21"/>
  <c r="C18" i="14"/>
  <c r="C11" i="14"/>
  <c r="G27" i="14"/>
  <c r="G23" i="14" s="1"/>
  <c r="F23" i="14" s="1"/>
  <c r="E60" i="15"/>
  <c r="J10" i="21"/>
  <c r="C21" i="14"/>
  <c r="C12" i="14" l="1"/>
  <c r="G22" i="9"/>
  <c r="D26" i="9"/>
  <c r="C36" i="14"/>
  <c r="L36" i="14" s="1"/>
  <c r="I32" i="14"/>
  <c r="E52" i="15"/>
  <c r="E12" i="15" s="1"/>
  <c r="N13" i="28"/>
  <c r="I10" i="15"/>
  <c r="K11" i="28"/>
  <c r="I16" i="15"/>
  <c r="C47" i="15"/>
  <c r="C45" i="15" s="1"/>
  <c r="G14" i="14"/>
  <c r="D45" i="15"/>
  <c r="D10" i="15" s="1"/>
  <c r="D32" i="15"/>
  <c r="C32" i="15" s="1"/>
  <c r="F20" i="14"/>
  <c r="E25" i="15"/>
  <c r="E23" i="15" s="1"/>
  <c r="G12" i="14"/>
  <c r="F18" i="14"/>
  <c r="D31" i="15"/>
  <c r="C60" i="15"/>
  <c r="C52" i="15" s="1"/>
  <c r="D52" i="15"/>
  <c r="D12" i="15" s="1"/>
  <c r="G21" i="14"/>
  <c r="E33" i="15"/>
  <c r="C33" i="15" s="1"/>
  <c r="D25" i="15"/>
  <c r="F11" i="14"/>
  <c r="C19" i="14"/>
  <c r="G9" i="14" l="1"/>
  <c r="C16" i="14"/>
  <c r="L30" i="14"/>
  <c r="L7" i="14" s="1"/>
  <c r="G26" i="9"/>
  <c r="C21" i="16" s="1"/>
  <c r="C33" i="14"/>
  <c r="H12" i="15"/>
  <c r="E13" i="28"/>
  <c r="E34" i="28" s="1"/>
  <c r="I12" i="15"/>
  <c r="K13" i="28"/>
  <c r="H10" i="15"/>
  <c r="E11" i="28"/>
  <c r="C12" i="15"/>
  <c r="C10" i="15"/>
  <c r="E6" i="15"/>
  <c r="D29" i="15"/>
  <c r="D7" i="15" s="1"/>
  <c r="H7" i="15" s="1"/>
  <c r="E31" i="15"/>
  <c r="E29" i="15" s="1"/>
  <c r="E7" i="15" s="1"/>
  <c r="I7" i="15" s="1"/>
  <c r="G19" i="14"/>
  <c r="G16" i="14" s="1"/>
  <c r="C25" i="15"/>
  <c r="D13" i="28" l="1"/>
  <c r="C34" i="14"/>
  <c r="E84" i="15" s="1"/>
  <c r="E82" i="15" s="1"/>
  <c r="E16" i="15" s="1"/>
  <c r="K17" i="28" s="1"/>
  <c r="C30" i="14"/>
  <c r="F16" i="14"/>
  <c r="C13" i="1"/>
  <c r="C23" i="16" s="1"/>
  <c r="C9" i="1"/>
  <c r="J34" i="14"/>
  <c r="D84" i="15"/>
  <c r="J33" i="14"/>
  <c r="D43" i="15"/>
  <c r="E43" i="15"/>
  <c r="E41" i="15" s="1"/>
  <c r="E9" i="15" s="1"/>
  <c r="K10" i="28" s="1"/>
  <c r="K8" i="28"/>
  <c r="D11" i="28"/>
  <c r="H11" i="28"/>
  <c r="J11" i="28"/>
  <c r="G11" i="28"/>
  <c r="E32" i="28"/>
  <c r="I11" i="28"/>
  <c r="I32" i="28" s="1"/>
  <c r="F11" i="28"/>
  <c r="F32" i="28" s="1"/>
  <c r="G7" i="14"/>
  <c r="C31" i="15"/>
  <c r="C29" i="15" s="1"/>
  <c r="C7" i="15" s="1"/>
  <c r="I6" i="15"/>
  <c r="J30" i="14" l="1"/>
  <c r="I30" i="14" s="1"/>
  <c r="I7" i="14" s="1"/>
  <c r="D41" i="15"/>
  <c r="D9" i="15" s="1"/>
  <c r="C43" i="15"/>
  <c r="C41" i="15" s="1"/>
  <c r="C9" i="15" s="1"/>
  <c r="C84" i="15"/>
  <c r="C82" i="15" s="1"/>
  <c r="C16" i="15" s="1"/>
  <c r="F13" i="1" s="1"/>
  <c r="D82" i="15"/>
  <c r="D16" i="15" s="1"/>
  <c r="J7" i="14"/>
  <c r="J17" i="21" a="1"/>
  <c r="J17" i="21" s="1"/>
  <c r="E17" i="28" l="1"/>
  <c r="H16" i="15"/>
  <c r="E10" i="28"/>
  <c r="H9" i="15"/>
  <c r="I13" i="15"/>
  <c r="I8" i="15"/>
  <c r="I11" i="15" s="1"/>
  <c r="I14" i="15"/>
  <c r="J18" i="21"/>
  <c r="G9" i="21" a="1"/>
  <c r="G9" i="21" s="1"/>
  <c r="H9" i="21" s="1"/>
  <c r="D10" i="28" l="1"/>
  <c r="E31" i="28"/>
  <c r="I10" i="28"/>
  <c r="I31" i="28" s="1"/>
  <c r="H10" i="28"/>
  <c r="F10" i="28"/>
  <c r="F31" i="28" s="1"/>
  <c r="G10" i="28"/>
  <c r="J10" i="28"/>
  <c r="D17" i="28"/>
  <c r="F17" i="28"/>
  <c r="F38" i="28" s="1"/>
  <c r="H17" i="28"/>
  <c r="G17" i="28"/>
  <c r="J17" i="28"/>
  <c r="I17" i="28"/>
  <c r="I38" i="28" s="1"/>
  <c r="E38" i="28"/>
  <c r="I18" i="15"/>
  <c r="J15" i="21"/>
  <c r="K15" i="21" s="1"/>
  <c r="H10" i="21"/>
  <c r="C13" i="14"/>
  <c r="C9" i="14" s="1"/>
  <c r="F9" i="14" s="1"/>
  <c r="K17" i="21" l="1"/>
  <c r="K18" i="21" s="1"/>
  <c r="N6" i="28" s="1"/>
  <c r="M15" i="21"/>
  <c r="N15" i="21" s="1"/>
  <c r="F13" i="14"/>
  <c r="F7" i="14" s="1"/>
  <c r="D26" i="15"/>
  <c r="G10" i="21"/>
  <c r="D11" i="2"/>
  <c r="N17" i="21" l="1"/>
  <c r="N18" i="21" s="1"/>
  <c r="O6" i="28" s="1"/>
  <c r="K6" i="28" s="1"/>
  <c r="C7" i="1"/>
  <c r="C7" i="14"/>
  <c r="C26" i="15"/>
  <c r="C23" i="15" s="1"/>
  <c r="D23" i="15"/>
  <c r="F10" i="16"/>
  <c r="C6" i="15" l="1"/>
  <c r="E37" i="15"/>
  <c r="E39" i="15"/>
  <c r="E38" i="15"/>
  <c r="D38" i="15"/>
  <c r="D37" i="15"/>
  <c r="D39" i="15"/>
  <c r="E20" i="15"/>
  <c r="D6" i="15"/>
  <c r="E8" i="28" s="1"/>
  <c r="I8" i="28" l="1"/>
  <c r="I29" i="28" s="1"/>
  <c r="H8" i="28"/>
  <c r="G8" i="28"/>
  <c r="J8" i="28"/>
  <c r="F8" i="28"/>
  <c r="F29" i="28" s="1"/>
  <c r="E29" i="28"/>
  <c r="D8" i="28"/>
  <c r="C38" i="15"/>
  <c r="E35" i="15"/>
  <c r="H6" i="15"/>
  <c r="C39" i="15"/>
  <c r="C37" i="15"/>
  <c r="D35" i="15"/>
  <c r="D8" i="15" l="1"/>
  <c r="E8" i="15"/>
  <c r="C35" i="15"/>
  <c r="C8" i="15" s="1"/>
  <c r="E11" i="15" l="1"/>
  <c r="E21" i="15" s="1"/>
  <c r="K9" i="28"/>
  <c r="K12" i="28" s="1"/>
  <c r="H8" i="15"/>
  <c r="H11" i="15" s="1"/>
  <c r="D15" i="21" s="1"/>
  <c r="G15" i="21" s="1"/>
  <c r="E9" i="28"/>
  <c r="D11" i="15"/>
  <c r="C11" i="15"/>
  <c r="D9" i="28" l="1"/>
  <c r="D12" i="28" s="1"/>
  <c r="G9" i="28"/>
  <c r="E12" i="28"/>
  <c r="E30" i="28"/>
  <c r="E33" i="28" s="1"/>
  <c r="F9" i="28"/>
  <c r="F30" i="28" s="1"/>
  <c r="H9" i="28"/>
  <c r="H12" i="28" s="1"/>
  <c r="J9" i="28"/>
  <c r="J12" i="28" s="1"/>
  <c r="I9" i="28"/>
  <c r="I30" i="28" s="1"/>
  <c r="O12" i="28"/>
  <c r="L12" i="28"/>
  <c r="M12" i="28"/>
  <c r="N12" i="28"/>
  <c r="G12" i="28"/>
  <c r="E15" i="21"/>
  <c r="H15" i="21"/>
  <c r="H17" i="21"/>
  <c r="F33" i="28" l="1"/>
  <c r="F12" i="28"/>
  <c r="I33" i="28"/>
  <c r="I12" i="28"/>
  <c r="H18" i="21"/>
  <c r="J6" i="28" s="1"/>
  <c r="N19" i="28" l="1"/>
  <c r="N21" i="28" s="1"/>
  <c r="O19" i="28"/>
  <c r="O21" i="28" s="1"/>
  <c r="M19" i="28"/>
  <c r="M21" i="28" s="1"/>
  <c r="L19" i="28"/>
  <c r="L21" i="28" s="1"/>
  <c r="D17" i="21" l="1" a="1"/>
  <c r="D17" i="21" s="1"/>
  <c r="E17" i="21" s="1"/>
  <c r="E18" i="21" s="1"/>
  <c r="D18" i="21" l="1"/>
  <c r="D20" i="15"/>
  <c r="D12" i="2"/>
  <c r="F11" i="16" s="1"/>
  <c r="I6" i="28"/>
  <c r="E6" i="28" l="1"/>
  <c r="I27" i="28"/>
  <c r="D21" i="15"/>
  <c r="C20" i="15"/>
  <c r="C6" i="1" s="1"/>
  <c r="C8" i="1" s="1"/>
  <c r="C14" i="1" s="1"/>
  <c r="C18" i="1" s="1"/>
  <c r="C21" i="1" s="1"/>
  <c r="C22" i="1" l="1"/>
  <c r="C21" i="15"/>
  <c r="D75" i="15" s="1"/>
  <c r="D65" i="15"/>
  <c r="E27" i="28"/>
  <c r="D6" i="28"/>
  <c r="D67" i="15" l="1"/>
  <c r="D66" i="15"/>
  <c r="D74" i="15"/>
  <c r="D73" i="15"/>
  <c r="C23" i="1"/>
  <c r="D71" i="15"/>
  <c r="D14" i="15" s="1"/>
  <c r="E65" i="15"/>
  <c r="E69" i="15"/>
  <c r="E75" i="15"/>
  <c r="C75" i="15" s="1"/>
  <c r="E66" i="15"/>
  <c r="C66" i="15" s="1"/>
  <c r="E67" i="15"/>
  <c r="E73" i="15"/>
  <c r="F7" i="1"/>
  <c r="F8" i="1" s="1"/>
  <c r="E68" i="15"/>
  <c r="E74" i="15"/>
  <c r="C74" i="15" s="1"/>
  <c r="D69" i="15"/>
  <c r="D68" i="15"/>
  <c r="C67" i="15" l="1"/>
  <c r="C69" i="15"/>
  <c r="C68" i="15"/>
  <c r="E63" i="15"/>
  <c r="E13" i="15" s="1"/>
  <c r="D63" i="15"/>
  <c r="D13" i="15" s="1"/>
  <c r="C24" i="1"/>
  <c r="C38" i="1" s="1"/>
  <c r="E71" i="15"/>
  <c r="E14" i="15" s="1"/>
  <c r="K15" i="28" s="1"/>
  <c r="C73" i="15"/>
  <c r="C71" i="15" s="1"/>
  <c r="C14" i="15" s="1"/>
  <c r="F10" i="1" s="1"/>
  <c r="C65" i="15"/>
  <c r="H14" i="15"/>
  <c r="E15" i="28"/>
  <c r="C63" i="15" l="1"/>
  <c r="C13" i="15" s="1"/>
  <c r="C18" i="15" s="1"/>
  <c r="F9" i="1"/>
  <c r="F14" i="1" s="1"/>
  <c r="C25" i="1"/>
  <c r="C26" i="1" s="1"/>
  <c r="H13" i="15"/>
  <c r="H18" i="15" s="1"/>
  <c r="D18" i="15"/>
  <c r="E14" i="28"/>
  <c r="H15" i="28"/>
  <c r="I15" i="28"/>
  <c r="J15" i="28"/>
  <c r="J19" i="28" s="1"/>
  <c r="J21" i="28" s="1"/>
  <c r="D15" i="28"/>
  <c r="E36" i="28"/>
  <c r="G15" i="28"/>
  <c r="F15" i="28"/>
  <c r="F36" i="28" s="1"/>
  <c r="K14" i="28"/>
  <c r="K19" i="28" s="1"/>
  <c r="K21" i="28" s="1"/>
  <c r="E18" i="15"/>
  <c r="I36" i="28" l="1"/>
  <c r="I40" i="28" s="1"/>
  <c r="I42" i="28" s="1"/>
  <c r="I44" i="28" s="1"/>
  <c r="I19" i="28"/>
  <c r="I21" i="28" s="1"/>
  <c r="F15" i="1"/>
  <c r="K14" i="1"/>
  <c r="K21" i="1" s="1"/>
  <c r="H14" i="28"/>
  <c r="H19" i="28" s="1"/>
  <c r="H21" i="28" s="1"/>
  <c r="D14" i="28"/>
  <c r="D19" i="28" s="1"/>
  <c r="D21" i="28" s="1"/>
  <c r="E19" i="28"/>
  <c r="E21" i="28" s="1"/>
  <c r="E35" i="28"/>
  <c r="E40" i="28" s="1"/>
  <c r="E42" i="28" s="1"/>
  <c r="E44" i="28" s="1"/>
  <c r="G14" i="28"/>
  <c r="G19" i="28" s="1"/>
  <c r="G21" i="28" s="1"/>
  <c r="F14" i="28"/>
  <c r="C35" i="16"/>
  <c r="C27" i="1"/>
  <c r="C37" i="1" l="1"/>
  <c r="C39" i="1" s="1"/>
  <c r="I8" i="2"/>
  <c r="I9" i="2" s="1"/>
  <c r="F7" i="16"/>
  <c r="F17" i="16" s="1"/>
  <c r="C38" i="16"/>
  <c r="C16" i="16" s="1"/>
  <c r="C37" i="16"/>
  <c r="F35" i="28"/>
  <c r="F40" i="28" s="1"/>
  <c r="F42" i="28" s="1"/>
  <c r="F44" i="28" s="1"/>
  <c r="F19" i="28"/>
  <c r="F21" i="28" s="1"/>
  <c r="K26" i="1"/>
  <c r="K27" i="1" s="1"/>
  <c r="K29" i="1" s="1"/>
  <c r="F27" i="16" l="1"/>
  <c r="F29" i="16" s="1"/>
  <c r="F31" i="16" s="1"/>
  <c r="I15" i="2"/>
  <c r="C18" i="16"/>
  <c r="C39" i="16" s="1"/>
  <c r="D15" i="2" s="1"/>
  <c r="D16" i="2" s="1"/>
  <c r="D18" i="2" s="1"/>
  <c r="G17" i="25" l="1"/>
  <c r="I16" i="2"/>
  <c r="I18" i="2" s="1"/>
  <c r="D19" i="2" s="1"/>
  <c r="F32" i="16"/>
  <c r="G12" i="25" l="1"/>
  <c r="G11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<sst xmlns="http://schemas.openxmlformats.org/spreadsheetml/2006/main" count="1179" uniqueCount="492">
  <si>
    <t>für:</t>
  </si>
  <si>
    <t>Gesamtkostenverfahren</t>
  </si>
  <si>
    <t>Aktuell</t>
  </si>
  <si>
    <t>Umsatzkostenverfahren</t>
  </si>
  <si>
    <t xml:space="preserve">   Umsatzerlöse</t>
  </si>
  <si>
    <t>± Erhöhung / Verminderung des Bestands an fertigen Erzeugnissen</t>
  </si>
  <si>
    <t>– Materialaufwand</t>
  </si>
  <si>
    <t>– Herstellungskosten der zur Erzielung der Umsatzerlöse erbrachten Leistungen</t>
  </si>
  <si>
    <t>= Rohergebnis</t>
  </si>
  <si>
    <t>= Bruttoergebnis vom Umsatz</t>
  </si>
  <si>
    <t>– Personalaufwand</t>
  </si>
  <si>
    <t>– Vertriebskosten</t>
  </si>
  <si>
    <t>– Abschreibungen auf Gegenstände des materiellen Anlagevermögens</t>
  </si>
  <si>
    <t>– Allgemeine Verwaltungskosten</t>
  </si>
  <si>
    <t>– F&amp;E-Aufwand</t>
  </si>
  <si>
    <t>– Verluste aus dem Abgang von Anlagevermögen</t>
  </si>
  <si>
    <t>± sonstige betriebliche Erträge / Aufwendungen</t>
  </si>
  <si>
    <t>= Betriebsergebnis</t>
  </si>
  <si>
    <t>+ Zinserträge (aus 1-Perioden Festgeldern)</t>
  </si>
  <si>
    <t>– Zinsen und ähnliche Aufwendungen</t>
  </si>
  <si>
    <t>= Ergebnis der gewöhnlichen Geschäftstätigkeit</t>
  </si>
  <si>
    <t>+ außerordentliche Erträge</t>
  </si>
  <si>
    <t>– außerordentliche Aufwendungen</t>
  </si>
  <si>
    <t>= Ergebnis vor Steuern</t>
  </si>
  <si>
    <t>– Steuern vom Einkommen und vom Ertrag</t>
  </si>
  <si>
    <t>= Periodenüberschuss / -fehlbetrag</t>
  </si>
  <si>
    <t>Ergebnisverwendung</t>
  </si>
  <si>
    <t xml:space="preserve">   Gewinn- / Verlustvortrag aus der Vorperiode</t>
  </si>
  <si>
    <t>± Periodenüberschuss / -fehlbetrag aus der Vorperiode</t>
  </si>
  <si>
    <t>= Gewinn- / Verlustvortrag der aktuellen Periode</t>
  </si>
  <si>
    <t>Aktiva</t>
  </si>
  <si>
    <t>Vorperiode</t>
  </si>
  <si>
    <t>Passiva</t>
  </si>
  <si>
    <t>Selbst geschaffene Schutzrechte</t>
  </si>
  <si>
    <t>Tsd. EUR</t>
  </si>
  <si>
    <t>gezeichnetes Kapital</t>
  </si>
  <si>
    <t>Grundstücke und Gebäude</t>
  </si>
  <si>
    <t>Kapitalrücklage</t>
  </si>
  <si>
    <t>Technische Anlagen und Maschinen</t>
  </si>
  <si>
    <t>Gewinn- / Verlustvortrag</t>
  </si>
  <si>
    <t>Betriebs- und Geschäftsausstattung</t>
  </si>
  <si>
    <t>Periodenüberschuss / -fehlbetrag</t>
  </si>
  <si>
    <t>Anlagevermögen</t>
  </si>
  <si>
    <t>Eigenkapital</t>
  </si>
  <si>
    <t>Kasse und Bankguthaben</t>
  </si>
  <si>
    <t>Umlaufvermögen</t>
  </si>
  <si>
    <t>Verbindlichkeiten</t>
  </si>
  <si>
    <t>Bilanzsumme</t>
  </si>
  <si>
    <t>Absatzmärkte</t>
  </si>
  <si>
    <t>Fertigungskoeffizienten</t>
  </si>
  <si>
    <t>Sondermarkt</t>
  </si>
  <si>
    <t>Basis-Zinssätze</t>
  </si>
  <si>
    <t>EUR/Stk.</t>
  </si>
  <si>
    <t>Stk./Stk.</t>
  </si>
  <si>
    <t>% p.a.</t>
  </si>
  <si>
    <t>Stk.</t>
  </si>
  <si>
    <t>Kontokorrentkredit</t>
  </si>
  <si>
    <t>Transportkosten - Fertigerzeugnisse</t>
  </si>
  <si>
    <t>MA/1000 Stk.</t>
  </si>
  <si>
    <t>Kapazitätsbedarf: Technische Anlagen</t>
  </si>
  <si>
    <t>KE/1000 Stk.</t>
  </si>
  <si>
    <t>IDEAL</t>
  </si>
  <si>
    <t>IDEAL: Inland</t>
  </si>
  <si>
    <t>weitere Finanzwerte</t>
  </si>
  <si>
    <t>IDEAL: Ausland</t>
  </si>
  <si>
    <t>EUR/FCU</t>
  </si>
  <si>
    <t>Lagerkosten - Fertigerzeugnisse</t>
  </si>
  <si>
    <t>Zahlungseingang</t>
  </si>
  <si>
    <t>% Erlöse</t>
  </si>
  <si>
    <t>Tsd. EUR/Lager</t>
  </si>
  <si>
    <t>Ertragsteuersatz</t>
  </si>
  <si>
    <t>%</t>
  </si>
  <si>
    <t>Personal</t>
  </si>
  <si>
    <t>Fertigung</t>
  </si>
  <si>
    <t>EUR p.a.</t>
  </si>
  <si>
    <t>Vertrieb</t>
  </si>
  <si>
    <t>Verwaltung</t>
  </si>
  <si>
    <t>Express-Lieferung</t>
  </si>
  <si>
    <t>Nebenkosten</t>
  </si>
  <si>
    <t>Personalnebenkosten</t>
  </si>
  <si>
    <t>% Gehalt</t>
  </si>
  <si>
    <t>Überstunden: Obergrenze</t>
  </si>
  <si>
    <t>Einstellungskosten (Recruiting)</t>
  </si>
  <si>
    <t>EUR/MA</t>
  </si>
  <si>
    <t>Entlassungskosten (Outplacement)</t>
  </si>
  <si>
    <t>Anzahl MA</t>
  </si>
  <si>
    <t>mindestens 100.000</t>
  </si>
  <si>
    <t>Anschaffungskosten</t>
  </si>
  <si>
    <t>Instandhaltungskosten</t>
  </si>
  <si>
    <t>sonstige Fixkosten</t>
  </si>
  <si>
    <t>Lagerkosten - Material</t>
  </si>
  <si>
    <t>Fertigung: Planmengen</t>
  </si>
  <si>
    <t>Fertigung: Ist-Mengen</t>
  </si>
  <si>
    <t>Fertigungspersonal</t>
  </si>
  <si>
    <t>Gesamt</t>
  </si>
  <si>
    <t>Auslastung</t>
  </si>
  <si>
    <t>MA</t>
  </si>
  <si>
    <t>erforderliche Anlagenkapazitäten</t>
  </si>
  <si>
    <t>KE</t>
  </si>
  <si>
    <t>Umsatz</t>
  </si>
  <si>
    <t xml:space="preserve">→  </t>
  </si>
  <si>
    <t>Bankguthaben</t>
  </si>
  <si>
    <t>Forderungen</t>
  </si>
  <si>
    <t>Ist-Absatz</t>
  </si>
  <si>
    <t>Verkaufspreis</t>
  </si>
  <si>
    <t>FCU/Stk.</t>
  </si>
  <si>
    <t>Inlandsmarkt</t>
  </si>
  <si>
    <t>Auslandsmarkt</t>
  </si>
  <si>
    <t>IDEAL - Inland</t>
  </si>
  <si>
    <t>IDEAL - Ausland</t>
  </si>
  <si>
    <t>Menge (Stk.)</t>
  </si>
  <si>
    <t>Wert (Tsd. EUR)</t>
  </si>
  <si>
    <t>Anfangsbestand</t>
  </si>
  <si>
    <t xml:space="preserve"> + Zugang (von Zulieferer)</t>
  </si>
  <si>
    <t xml:space="preserve"> – Abgang (an Fertigung)</t>
  </si>
  <si>
    <t>Endbestand</t>
  </si>
  <si>
    <t xml:space="preserve"> + Zugang (von Fertigung)</t>
  </si>
  <si>
    <t xml:space="preserve"> – Abgang (an Vertrieb)</t>
  </si>
  <si>
    <t>Typ</t>
  </si>
  <si>
    <t>Anschaffungsperiode</t>
  </si>
  <si>
    <t>Name</t>
  </si>
  <si>
    <t>(bilanzielle) Nutzungsdauer</t>
  </si>
  <si>
    <t>Perioden</t>
  </si>
  <si>
    <t>Abschreibungen</t>
  </si>
  <si>
    <t>Fertigungskapazitäten</t>
  </si>
  <si>
    <t>Personalbestand</t>
  </si>
  <si>
    <t>Einstellungen</t>
  </si>
  <si>
    <t>Entlassungen</t>
  </si>
  <si>
    <t>Unternehmens-Gehälter</t>
  </si>
  <si>
    <t>freiwillige Leistungen (Gehaltsaufschlag)</t>
  </si>
  <si>
    <t>Sozialabgaben / betriebl. AV</t>
  </si>
  <si>
    <t>Personalaufwand</t>
  </si>
  <si>
    <t>Direkte Personalkosten</t>
  </si>
  <si>
    <t>Personalentwicklung (Aus-/Weiterbildung)</t>
  </si>
  <si>
    <t>Index</t>
  </si>
  <si>
    <t>Technik</t>
  </si>
  <si>
    <t>Haptik</t>
  </si>
  <si>
    <t xml:space="preserve"> – Abgänge</t>
  </si>
  <si>
    <t>Endbestand (Buchwert)</t>
  </si>
  <si>
    <t>Zinssatz</t>
  </si>
  <si>
    <t>Zinslast</t>
  </si>
  <si>
    <t>Kontokorrentkredit (1P)</t>
  </si>
  <si>
    <t>KostenRechnung 1: Kostenarten- und Kostenstellenrechnung</t>
  </si>
  <si>
    <t>Kostenarten</t>
  </si>
  <si>
    <t>Kostenträger</t>
  </si>
  <si>
    <t>Kostenstellen</t>
  </si>
  <si>
    <t>Einkauf</t>
  </si>
  <si>
    <t>Gesamtkosten</t>
  </si>
  <si>
    <t>Material - Einzelkosten</t>
  </si>
  <si>
    <t>Tsd.EUR/Lager</t>
  </si>
  <si>
    <t>Personalkosten</t>
  </si>
  <si>
    <t>Fertigung - Nutzkosten</t>
  </si>
  <si>
    <t>Fertigung - Leerkosten</t>
  </si>
  <si>
    <t>Selbst geschaffene Schutzrechte (s.u. F&amp;E)</t>
  </si>
  <si>
    <t>Technische Anlagen - Fertigung</t>
  </si>
  <si>
    <t>Technische Anlagen - Leerkosten</t>
  </si>
  <si>
    <t>Sonstige Fixkosten</t>
  </si>
  <si>
    <t>Tsd. EUR / %</t>
  </si>
  <si>
    <t>sprungfixe Kosten der Überstunden</t>
  </si>
  <si>
    <t>Transportkosten</t>
  </si>
  <si>
    <t>Kosten der Kommunikationspolitik</t>
  </si>
  <si>
    <t>Öffentlichkeitsarbeit / PR</t>
  </si>
  <si>
    <t>IDEAL: Produktwerbung - Inland</t>
  </si>
  <si>
    <t>IDEAL: Produktwerbung - Ausland</t>
  </si>
  <si>
    <t>Marktforschung</t>
  </si>
  <si>
    <t>Branchenbericht</t>
  </si>
  <si>
    <t>Marktbericht - IDEAL</t>
  </si>
  <si>
    <t>IDEAL - Technik</t>
  </si>
  <si>
    <t>IDEAL - Haptik</t>
  </si>
  <si>
    <t>KostenRechnung 2: Kostenträgerrechung</t>
  </si>
  <si>
    <t>Stückkosten</t>
  </si>
  <si>
    <t>+ Material - Einzelkosten</t>
  </si>
  <si>
    <t>+ Material - Einzelkosten 2</t>
  </si>
  <si>
    <t>+ Material - Gemeinkosten</t>
  </si>
  <si>
    <t>+ Fertigungs - Einzelkosten</t>
  </si>
  <si>
    <t>+ Fertigungs - Gemeinkosten</t>
  </si>
  <si>
    <t>= Herstellkosten des Umsatzes</t>
  </si>
  <si>
    <t>+ Vertriebs - Einzelkosten</t>
  </si>
  <si>
    <t>+ Vertriebs - Gemeinkosten</t>
  </si>
  <si>
    <t>+ Verwaltungs - Gemeinkosten</t>
  </si>
  <si>
    <t>+ F&amp;E - Kosten</t>
  </si>
  <si>
    <t>+ Leerkosten</t>
  </si>
  <si>
    <t>± Bestandsveränderung Fertigerzeugnisse</t>
  </si>
  <si>
    <t>= Gesamtkosten</t>
  </si>
  <si>
    <t>Produktionsmengen</t>
  </si>
  <si>
    <t>Material - Gemeinkosten</t>
  </si>
  <si>
    <t>Personalkosten - Einkauf</t>
  </si>
  <si>
    <t>Abschreibungen - Einkauf</t>
  </si>
  <si>
    <t>Instandhaltung - Einkauf</t>
  </si>
  <si>
    <t>Fertigungs - Einzelkosten</t>
  </si>
  <si>
    <t>Personalkosten - Fertigung</t>
  </si>
  <si>
    <t>Fertigungs - Gemeinkosten</t>
  </si>
  <si>
    <t>Abschreibungen - Fertigung</t>
  </si>
  <si>
    <t>Instandhaltung - Fertigung</t>
  </si>
  <si>
    <t>Vertriebs - Einzelkosten</t>
  </si>
  <si>
    <t>Produktwerbung - Inland</t>
  </si>
  <si>
    <t>Produktwerbung - Ausland</t>
  </si>
  <si>
    <t>Marktforschung - Marktberichte</t>
  </si>
  <si>
    <t>Transportkosten - Inland</t>
  </si>
  <si>
    <t>Transportkosten - Ausland</t>
  </si>
  <si>
    <t>Lagerkosten - Inland</t>
  </si>
  <si>
    <t>Lagerkosten - Ausland</t>
  </si>
  <si>
    <t>Vertriebs - Gemeinkosten</t>
  </si>
  <si>
    <t>Marktforschung - Branchenbericht</t>
  </si>
  <si>
    <t>Personalkosten - Vertrieb</t>
  </si>
  <si>
    <t>Abschreibungen - Vertrieb</t>
  </si>
  <si>
    <t>Instandhaltung - Vertrieb</t>
  </si>
  <si>
    <t>Verwaltungs - Gemeinkosten</t>
  </si>
  <si>
    <t>Personalkosten - Verwaltung</t>
  </si>
  <si>
    <t>Abschreibungen - Verwaltung</t>
  </si>
  <si>
    <t>Instandhaltung - Verwaltung</t>
  </si>
  <si>
    <t>Forschung &amp; Entwicklung</t>
  </si>
  <si>
    <t>Leerkosten</t>
  </si>
  <si>
    <t>Abschreibungen - Technische Anlagen</t>
  </si>
  <si>
    <t>sonstige Fixkosten - Fertigung</t>
  </si>
  <si>
    <t>Einzahlungen / Auszahlungen (direkte Methode)</t>
  </si>
  <si>
    <t>Kapitalflussrechnung (indirekte Methode)</t>
  </si>
  <si>
    <t xml:space="preserve">  Anfangsbestand - Kasse und Bankguthaben</t>
  </si>
  <si>
    <t>+ Einzahlungen aus Umsatzerlösen der aktuellen Periode</t>
  </si>
  <si>
    <t xml:space="preserve">   Periodenüberschuss / -fehlbetrag</t>
  </si>
  <si>
    <t>+ Einzahlungen aus Umsatzerlösen der Vorperiode</t>
  </si>
  <si>
    <t>+ Abschreibungen auf Gegenstände des immateriellen Anlagevermögens</t>
  </si>
  <si>
    <t>+ Einzahlungen aus fälligen Festgeldanlagen (kurzfristig: 1P)</t>
  </si>
  <si>
    <t>+ Abschreibungen auf Gegenstände des materiellen Anlagevermögens</t>
  </si>
  <si>
    <t>+ Einzahlungen aus dem Abgang von Anlagevermögen</t>
  </si>
  <si>
    <t>+ erhaltene Zinsen auf Festgeldanlagen (Zinserträge)</t>
  </si>
  <si>
    <t>∓ Zunahme / Abnahme der Vorräte - Fertigerzeugnisse</t>
  </si>
  <si>
    <t>+ Einzahlungen aus Eigenkapitalzuführungen</t>
  </si>
  <si>
    <t>∓ Zunahme / Abnahme der Forderungen</t>
  </si>
  <si>
    <t>∓ Zunahme / Abnahme der Festgeldanlagen (kurzfristig: 1P)</t>
  </si>
  <si>
    <t>+ Verluste aus dem Abgang von Anlagevermögen</t>
  </si>
  <si>
    <t>+ gezahlte Zinsen (Zinsaufwendungen)</t>
  </si>
  <si>
    <t>+ Nutzung von Kontokorrentkrediten</t>
  </si>
  <si>
    <t>– erhaltene Zinsen auf Festgeldanlagen (Zinserträge)</t>
  </si>
  <si>
    <t>= Summe der Einzahlungen</t>
  </si>
  <si>
    <t>= Cash Flow aus der laufenden Geschäftstätigkeit</t>
  </si>
  <si>
    <t>– Auszahlungen für Materialeinkauf</t>
  </si>
  <si>
    <t>– Auszahlungen für Personalkosten</t>
  </si>
  <si>
    <t>– Auszahlungen für Investitionen in das immaterielle Anlagevermögen</t>
  </si>
  <si>
    <t>– Auszahlungen für Investitionen in das materielle Anlagevermögen</t>
  </si>
  <si>
    <t>– Auszahlungen für sonstige Kosten</t>
  </si>
  <si>
    <t>= Cash Flow aus der Investitionstätigkeit</t>
  </si>
  <si>
    <t>– gezahlte Dividenden</t>
  </si>
  <si>
    <t>– Tilgung von Kontokorrentkrediten</t>
  </si>
  <si>
    <t>± Aufnahme/ Tilgung von Finanzkrediten</t>
  </si>
  <si>
    <t>– gezahlte Zinsen (Zinsaufwendungen)</t>
  </si>
  <si>
    <t>= Cash Flow aus der Finanzierungstätigkeit</t>
  </si>
  <si>
    <t>– gezahlte Zinsen für Kontokorrentkredite (Zinsaufwendungen)</t>
  </si>
  <si>
    <t xml:space="preserve">  Endbestand - Kasse und Bankguthaben</t>
  </si>
  <si>
    <t>– gezahlte Ertragsteuern</t>
  </si>
  <si>
    <t>– außerordentliche Auszahlungen</t>
  </si>
  <si>
    <t>= Summe der Auszahlungen</t>
  </si>
  <si>
    <t>F&amp;E-Ausgaben</t>
  </si>
  <si>
    <t>Fertigerzeugnisse</t>
  </si>
  <si>
    <t>Betrag</t>
  </si>
  <si>
    <t>Darlehen</t>
  </si>
  <si>
    <t>aktuell</t>
  </si>
  <si>
    <t>Finanzanlagen &amp; Verbindlichkeiten</t>
  </si>
  <si>
    <t>Festgeldanlage (1P)</t>
  </si>
  <si>
    <t>Betriebs- und
Geschäftsausstattung</t>
  </si>
  <si>
    <t>Grundstücke und
Gebäude</t>
  </si>
  <si>
    <t>– Auszahlungen für Forschung &amp; Entwicklung (immaterielles Anlagevermögen)</t>
  </si>
  <si>
    <t>Technische Anlagen
und Maschinen</t>
  </si>
  <si>
    <t>Fertigungspersonal: Planmenge</t>
  </si>
  <si>
    <t>Sonderabschreibungen</t>
  </si>
  <si>
    <t>Technische Anlagen - Abgangsverluste</t>
  </si>
  <si>
    <t>+ Technische Anlagen - Abgangsverluste</t>
  </si>
  <si>
    <t>Produktivität</t>
  </si>
  <si>
    <t>Kapazitätsbedarf (Ist)</t>
  </si>
  <si>
    <t>ErlösRechnung</t>
  </si>
  <si>
    <t>davon mit RLZ 1 Jahr</t>
  </si>
  <si>
    <t>EZB-Leitzins</t>
  </si>
  <si>
    <t>Inland</t>
  </si>
  <si>
    <t>Ausland</t>
  </si>
  <si>
    <t>Lagerbestand (Periodenbeginn)</t>
  </si>
  <si>
    <t>Produktion</t>
  </si>
  <si>
    <t>Liefermengen - Ausland</t>
  </si>
  <si>
    <t>verfügbare Produkte</t>
  </si>
  <si>
    <t>Express Transporte</t>
  </si>
  <si>
    <t>Absatzpotenzial - IDEAL</t>
  </si>
  <si>
    <t>Lagerbestand</t>
  </si>
  <si>
    <t xml:space="preserve"> – Abschreibungen</t>
  </si>
  <si>
    <t xml:space="preserve"> + Zugänge</t>
  </si>
  <si>
    <t>Anlage 01</t>
  </si>
  <si>
    <t>Anlage 02</t>
  </si>
  <si>
    <t>Anlage 03</t>
  </si>
  <si>
    <t>Anlage 04</t>
  </si>
  <si>
    <t>Anlage 05</t>
  </si>
  <si>
    <t>Anlage 06</t>
  </si>
  <si>
    <t>Anlage 07</t>
  </si>
  <si>
    <t>Anlage 08</t>
  </si>
  <si>
    <t>Instandhaltungskosten (Basis)</t>
  </si>
  <si>
    <t>potenzieller Restwerterlös</t>
  </si>
  <si>
    <t>Verkaufserlös (in % des RBW)</t>
  </si>
  <si>
    <r>
      <rPr>
        <sz val="8"/>
        <color theme="1"/>
        <rFont val="Calibri"/>
        <family val="2"/>
        <scheme val="minor"/>
      </rPr>
      <t xml:space="preserve">(bilanzielle) </t>
    </r>
    <r>
      <rPr>
        <sz val="11"/>
        <color theme="1"/>
        <rFont val="Calibri"/>
        <family val="2"/>
        <scheme val="minor"/>
      </rPr>
      <t>Nutzungsdauer</t>
    </r>
  </si>
  <si>
    <t>Lieferengpässe</t>
  </si>
  <si>
    <t>+ außerordentliche Einzahlungen</t>
  </si>
  <si>
    <t>pro MA</t>
  </si>
  <si>
    <t>KE p.a.</t>
  </si>
  <si>
    <t>% RBW</t>
  </si>
  <si>
    <t>Erhaltungsaufwendungen</t>
  </si>
  <si>
    <t>notwendige Ersatz-Investitionen</t>
  </si>
  <si>
    <t>Investitionen in Gebäude / Betriebs- und Geschäftsausstattung</t>
  </si>
  <si>
    <t>Transportkosten - ExpressTransfers</t>
  </si>
  <si>
    <t>BGA-Investitionen</t>
  </si>
  <si>
    <t>SOLID</t>
  </si>
  <si>
    <t>SOLID: Großabnehmer - Preis</t>
  </si>
  <si>
    <t>SOLID: Großabnehmer - Menge</t>
  </si>
  <si>
    <t>SOLID: Inland</t>
  </si>
  <si>
    <t>SOLID: Ausland</t>
  </si>
  <si>
    <t>Absatzpotenzial - SOLID</t>
  </si>
  <si>
    <t>SOLID: Produktwerbung - Inland</t>
  </si>
  <si>
    <t>SOLID: Produktwerbung - Ausland</t>
  </si>
  <si>
    <t>Marktbericht - SOLID</t>
  </si>
  <si>
    <t>SOLID - Technik</t>
  </si>
  <si>
    <t>SOLID - Haptik</t>
  </si>
  <si>
    <t>Grundgehalt</t>
  </si>
  <si>
    <t>Zinsaufschlag</t>
  </si>
  <si>
    <t>Rating</t>
  </si>
  <si>
    <t/>
  </si>
  <si>
    <t>Fluktuation / Fehlzeiten</t>
  </si>
  <si>
    <t>mindestens 120.000</t>
  </si>
  <si>
    <t>Entlassungen: Obergrenze</t>
  </si>
  <si>
    <t>Einstellungen: Obergrenze</t>
  </si>
  <si>
    <t>Kapazitätsbedarf: Personal (Basis)</t>
  </si>
  <si>
    <t xml:space="preserve">      40.000 -   79.999</t>
  </si>
  <si>
    <t xml:space="preserve">      80.000 - 119.999</t>
  </si>
  <si>
    <t xml:space="preserve">      25.000 -   49.999</t>
  </si>
  <si>
    <t xml:space="preserve">      50.000 -   74.999</t>
  </si>
  <si>
    <t xml:space="preserve">      75.000 -   99.999</t>
  </si>
  <si>
    <t xml:space="preserve">      15.000 -   29.999</t>
  </si>
  <si>
    <t xml:space="preserve">      30.000 -   44.999</t>
  </si>
  <si>
    <t xml:space="preserve">      45.000 -   59.999</t>
  </si>
  <si>
    <t>mindestens   60.000</t>
  </si>
  <si>
    <t>Beschaffungsmärkte:  Technische Anlagen</t>
  </si>
  <si>
    <t>Beschaffungsmärkte:  Roh-/Hilfs- und Betriebsstoffe</t>
  </si>
  <si>
    <t>Arbeitsmarkt / Betriebsrat</t>
  </si>
  <si>
    <t>Finanzmärkte</t>
  </si>
  <si>
    <t>Verkaufserlös  (% vom Restbuchwert)</t>
  </si>
  <si>
    <t>Kapazitätsbedarf: Personal  (Basis)</t>
  </si>
  <si>
    <t>Einstellungskosten  (Recruiting)</t>
  </si>
  <si>
    <t>Entlassungskosten  (Outplacement)</t>
  </si>
  <si>
    <t>Wechselkurs  (EUR/FCU)</t>
  </si>
  <si>
    <t>+ F&amp;E-Ausgaben</t>
  </si>
  <si>
    <t>– Abschreibungen F&amp;E</t>
  </si>
  <si>
    <t>– Abschreibungen Personalentwicklung</t>
  </si>
  <si>
    <t>= Betriebsergebnis (bereinigt)</t>
  </si>
  <si>
    <t>= NOPAT</t>
  </si>
  <si>
    <t>– Kapitalkosten</t>
  </si>
  <si>
    <t>= EVA</t>
  </si>
  <si>
    <t>Kategorie</t>
  </si>
  <si>
    <t>AA+</t>
  </si>
  <si>
    <t>Personalentwicklung</t>
  </si>
  <si>
    <t>Mitarbeiter-Motivation</t>
  </si>
  <si>
    <t>Fertigungsmengen und Kapazitätsauslastungen</t>
  </si>
  <si>
    <t>Produktivität der Fertigungsmitarbeiter</t>
  </si>
  <si>
    <t>Anzahl MA / %</t>
  </si>
  <si>
    <t>Grund-Gehalt (Tarif/Betriebsrat)</t>
  </si>
  <si>
    <t>Gehalt</t>
  </si>
  <si>
    <t>Überstundenvergütung</t>
  </si>
  <si>
    <t>Kapitalerhöhung</t>
  </si>
  <si>
    <t>Economic Value Added (EVA)</t>
  </si>
  <si>
    <t>Festgeldanlagen  (kurzfristig: 1P)</t>
  </si>
  <si>
    <t>eingesetztes Fertigungspersonal</t>
  </si>
  <si>
    <t>eingesetzte Anlagenkapazitäten</t>
  </si>
  <si>
    <t>SOLID: Ausland (Zentrallager)</t>
  </si>
  <si>
    <t>SOLID: Ausland (Endkunde)</t>
  </si>
  <si>
    <t>IDEAL: Ausland (Zentrallager)</t>
  </si>
  <si>
    <t>IDEAL: Ausland (Endkunde)</t>
  </si>
  <si>
    <t>Typ 'S' (Small: 8.000 Stk. / 10 Perioden)</t>
  </si>
  <si>
    <t>Typ 'M' (Medium: 15.000 Stk. / 10 Perioden)</t>
  </si>
  <si>
    <t>Typ 'L' (Large: 30.000 Stk. / 12 Perioden)</t>
  </si>
  <si>
    <t>'M'-Darlehen (5P)</t>
  </si>
  <si>
    <t>'L'-Darlehen (10P)</t>
  </si>
  <si>
    <t>'S'-Darlehen (1P)</t>
  </si>
  <si>
    <t>'M'</t>
  </si>
  <si>
    <t>– gezahlte Zinsen für 'M'-Darlehen  (Zinsaufwendungen)</t>
  </si>
  <si>
    <t xml:space="preserve"> + Express-Lieferung</t>
  </si>
  <si>
    <t xml:space="preserve"> +/– Express-Transport</t>
  </si>
  <si>
    <t>Materialkosten</t>
  </si>
  <si>
    <t>verfügbares Fertigungspersonal</t>
  </si>
  <si>
    <t>verfügbare Anlagenkapazitäten</t>
  </si>
  <si>
    <t>ErfolgsRechnung:  GuV</t>
  </si>
  <si>
    <t>VermögensRechnung:  Bilanz</t>
  </si>
  <si>
    <t>Anlagevermögen:  Immaterielle Rechte und materielle Sachanlagen</t>
  </si>
  <si>
    <t>Umlaufvermögen:  Vorräte</t>
  </si>
  <si>
    <t>LiquiditätsRechnung</t>
  </si>
  <si>
    <t>Hilfsstoffe 'H': SOLID</t>
  </si>
  <si>
    <t>Hilfsstoffe 'H': IDEAL</t>
  </si>
  <si>
    <t>Hilfsstoffe 'H'</t>
  </si>
  <si>
    <t>Lagerkosten - Hilfsstoffe 'H'</t>
  </si>
  <si>
    <t>Einkaufspreise - Hilfsstoffe 'H'</t>
  </si>
  <si>
    <t>Materialbedarf:    Hilfsstoffe 'H'</t>
  </si>
  <si>
    <t>Festgeldanlagen  (kurzfristig:   1 Periode)</t>
  </si>
  <si>
    <t>'S'  -Darlehen       (kurzfristig:   1 Periode)</t>
  </si>
  <si>
    <t>'M'-Darlehen       (langfristig:   5 Perioden)</t>
  </si>
  <si>
    <t>'L'  -Darlehen       (langfristig: 10 Perioden)</t>
  </si>
  <si>
    <t>Instandhaltungskosten  (Basis: erste 7 Jahre)</t>
  </si>
  <si>
    <t>mittelfristige Darlehen 'M'      (nicht fällig)</t>
  </si>
  <si>
    <t>mittel-/langfristige Darlehen  (unter 1 Jahr: fällig)</t>
  </si>
  <si>
    <t>Kontokorrentkredite                (unter 1 Jahr: fällig)</t>
  </si>
  <si>
    <t>+ Aufnahme von 'M'-Darlehen  (mittelfristig: 5P)</t>
  </si>
  <si>
    <t>+ Aufnahme von 'L'  -Darlehen  (langfristig: 10P)</t>
  </si>
  <si>
    <t>+ Aufnahme von 'S'  -Darlehen  (kurzfristig: 1P)</t>
  </si>
  <si>
    <t>erzielter Restwerterlös der Periode</t>
  </si>
  <si>
    <t>Abgangs-Verluste der Periode</t>
  </si>
  <si>
    <t>– gezahlte Zinsen für 'L'-  Darlehen  (Zinsaufwendungen)</t>
  </si>
  <si>
    <t>– gezahlte Zinsen für 'S'  -Darlehen  (Zinsaufwendungen)</t>
  </si>
  <si>
    <t>SOLID: Inland    (Endkunde)</t>
  </si>
  <si>
    <t>SOLID: Inland    (Zentrallager)</t>
  </si>
  <si>
    <t>IDEAL: Inland    (Zentrallager)</t>
  </si>
  <si>
    <t>IDEAL: Inland    (Endkunde)</t>
  </si>
  <si>
    <t>Vorräte:  Roh-, Hilfs- und Betriebsstoffe</t>
  </si>
  <si>
    <t>Vorräte:  Fertigerzeugnisse</t>
  </si>
  <si>
    <t>SOLID: Express-Transporte (Zentrallager)</t>
  </si>
  <si>
    <t>IDEAL: Express-Transporte (Zentrallager)</t>
  </si>
  <si>
    <t>Einkaufspreise - Vorprodukt 'S' ( SOLID)</t>
  </si>
  <si>
    <t>Einkaufspreise - Vorprodukt 'I' (IDEAL)</t>
  </si>
  <si>
    <t>Materialbedarf:    Vorprodukt 'S' (SOLID)</t>
  </si>
  <si>
    <t>Lagerkosten - Vorprodukte</t>
  </si>
  <si>
    <t>Vorprodukt 'S' (SOLID)</t>
  </si>
  <si>
    <t>Vorprodukt 'I'  (IDEAL)</t>
  </si>
  <si>
    <t>Materialbedarf:    Vorprodukt 'I' (IDEAL)</t>
  </si>
  <si>
    <t>∓ Zunahme / Abnahme der Vorräte - Vorprodukte</t>
  </si>
  <si>
    <t>Lagerkosten - Vorprodukt 'S' (SOLID)</t>
  </si>
  <si>
    <t>Lagerkosten - Vorprodukt 'I'  (IDEAL)</t>
  </si>
  <si>
    <t>Roh, Hilfs- und Betriebsstoffe</t>
  </si>
  <si>
    <t>Vorprodukt 'I' (IDEAL)</t>
  </si>
  <si>
    <t>Anschaffungskosten: Werkstätte</t>
  </si>
  <si>
    <t>Werkstätte-Verfügbarkeit</t>
  </si>
  <si>
    <t>Qualitäts-Indizes</t>
  </si>
  <si>
    <t>= Herstellkosten der Produktion</t>
  </si>
  <si>
    <t>±</t>
  </si>
  <si>
    <t>∓</t>
  </si>
  <si>
    <t>ErgebnisRechnung</t>
  </si>
  <si>
    <t>Absatz</t>
  </si>
  <si>
    <t>Lager</t>
  </si>
  <si>
    <t>Sonder</t>
  </si>
  <si>
    <t>= Erlöse</t>
  </si>
  <si>
    <t>EUR/Stück</t>
  </si>
  <si>
    <t>Produktions- / Absatzmengen</t>
  </si>
  <si>
    <t>Stück</t>
  </si>
  <si>
    <t>= Selbstkosten der Produktion</t>
  </si>
  <si>
    <t>Material - Einzelkosten 1</t>
  </si>
  <si>
    <t>Sonstige Fixkosten - Überstunden  (sprungfixe Kosten)</t>
  </si>
  <si>
    <t>Sonstige Fixkosten - Technische Anlagen</t>
  </si>
  <si>
    <t>Engpässe</t>
  </si>
  <si>
    <t>Engpass</t>
  </si>
  <si>
    <t>maximal mögliche Produktion (Personal ohne Überstunden)</t>
  </si>
  <si>
    <t>maximal mögliche Produktion (Personal)</t>
  </si>
  <si>
    <t>maximal mögliche Produktion (Anlagen)</t>
  </si>
  <si>
    <t>Personalkapazitäten (inkl. Überstunden)</t>
  </si>
  <si>
    <t>erforderliche Personalkapazitäten</t>
  </si>
  <si>
    <t>MA-KE</t>
  </si>
  <si>
    <t>verfügbare Personalkapazitäten</t>
  </si>
  <si>
    <t>eingesetzte Personalkapazitäten</t>
  </si>
  <si>
    <t>Überstunden</t>
  </si>
  <si>
    <t>MK_GMS_Pro 2.10</t>
  </si>
  <si>
    <t>kurzfristige Darlehen 'S'          (unter 1 Jahr: fällig)</t>
  </si>
  <si>
    <t>langfristige Darlehen 'L'          (nicht fällig)</t>
  </si>
  <si>
    <t>Forderungen  (aus LuL)</t>
  </si>
  <si>
    <t>– Tilgung von fälligen 'S'  -Darlehen  (kurzfristig: 1P)</t>
  </si>
  <si>
    <t xml:space="preserve">               1 -   39.999</t>
  </si>
  <si>
    <t xml:space="preserve">               1 -   24.999</t>
  </si>
  <si>
    <t xml:space="preserve">               1 -   14.999</t>
  </si>
  <si>
    <t xml:space="preserve">                       Fixkosten</t>
  </si>
  <si>
    <t xml:space="preserve">                       Gehaltsaufschlag bis 10%</t>
  </si>
  <si>
    <t xml:space="preserve">                       Gehaltsaufschlag über 10%</t>
  </si>
  <si>
    <t>– unbegrenzt abzugsfähiger Verlustvortrag (nach Steuerrecht)</t>
  </si>
  <si>
    <t>= Ergebnis vor Steuern (Zwischenbetrag nach Steuerrecht)</t>
  </si>
  <si>
    <t>– begrenzt abzugsfähiger Verlustvortrag (nach Steuerrecht)</t>
  </si>
  <si>
    <t>= Ergebnis vor Steuern (Endbetrag nach Steuerrecht)</t>
  </si>
  <si>
    <t>Maximalbetrag (nach Steuerrecht)</t>
  </si>
  <si>
    <t>Verlustvortrag (nach Steuerrecht)</t>
  </si>
  <si>
    <t xml:space="preserve">   Verlustvortrag aus der Vorperiode (nach Steuerrecht)</t>
  </si>
  <si>
    <t>– Verrechnung von Verlustvorträgen in der aktuellen Periode</t>
  </si>
  <si>
    <t>+ Verlust der aktuellen Periode</t>
  </si>
  <si>
    <t>+ Personalentwicklung</t>
  </si>
  <si>
    <t>= Verlustvortrag der aktuellen Periode (nach Steuerrecht)</t>
  </si>
  <si>
    <t>geplante Dividenden-Auschüttung der aktuellen Periode</t>
  </si>
  <si>
    <t>– Dividenden-Auschüttung der aktuellen Periode</t>
  </si>
  <si>
    <t>Personalentwickung</t>
  </si>
  <si>
    <t>Fortbildung</t>
  </si>
  <si>
    <t>(Human Capital)</t>
  </si>
  <si>
    <t>Anlagevermögen (EVA)</t>
  </si>
  <si>
    <t>Gesamtergebnis</t>
  </si>
  <si>
    <t>Stückergebnis</t>
  </si>
  <si>
    <t>= Verkaufspreis</t>
  </si>
  <si>
    <t>= Stückgewinn/-verlust</t>
  </si>
  <si>
    <t>– Auszahlungen für Festgeldanlagen (kurzfristig: 1P)</t>
  </si>
  <si>
    <t>– Tilgung von fälligen 'L'  -Darlehen  (langfristig: 10P)</t>
  </si>
  <si>
    <t>– Tilgung von fälligen 'M'-Darlehen  (mittelfristig: 5P)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</si>
</sst>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%"/>
    <numFmt numFmtId="165" formatCode="#,##0.0000"/>
    <numFmt numFmtId="166" formatCode="&quot;Periode&quot;\ 00"/>
    <numFmt numFmtId="167" formatCode="&quot;P&quot;00"/>
    <numFmt numFmtId="168" formatCode="#,##0.0"/>
    <numFmt numFmtId="169" formatCode="&quot;Anlage &quot;00"/>
    <numFmt numFmtId="170" formatCode="0\ &quot;P&quot;"/>
    <numFmt numFmtId="171" formatCode="0%\ &quot;(RBW)&quot;"/>
    <numFmt numFmtId="172" formatCode="#,##0\ &quot;KE&quot;"/>
    <numFmt numFmtId="173" formatCode="&quot;Periode&quot;\ 0"/>
    <numFmt numFmtId="174" formatCode="0.0000"/>
    <numFmt numFmtId="175" formatCode="\+0.00%;\-0.00%"/>
    <numFmt numFmtId="176" formatCode="\+0.00%;\-0.00%;\±0.00%"/>
    <numFmt numFmtId="177" formatCode="0.00\ &quot;Jahre&quot;"/>
    <numFmt numFmtId="178" formatCode="\+0.0;\-0.0"/>
    <numFmt numFmtId="179" formatCode="#,##0.000"/>
  </numFmts>
  <fonts count="4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11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537727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rgb="FF537727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11"/>
      <color rgb="FF537727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sz val="9"/>
      <color rgb="FFDC6464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rgb="FFE35D5D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EBD8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1EEE7"/>
        <bgColor indexed="64"/>
      </patternFill>
    </fill>
  </fills>
  <borders count="6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/>
      <top/>
      <bottom style="medium">
        <color theme="0" tint="-0.1498764000366222"/>
      </bottom>
      <diagonal/>
    </border>
    <border>
      <left/>
      <right/>
      <top/>
      <bottom style="medium">
        <color theme="0" tint="-0.1498764000366222"/>
      </bottom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8458815271462"/>
      </left>
      <right/>
      <top/>
      <bottom style="medium">
        <color theme="0" tint="-0.1498458815271462"/>
      </bottom>
      <diagonal/>
    </border>
    <border>
      <left/>
      <right/>
      <top/>
      <bottom style="medium">
        <color theme="0" tint="-0.1498458815271462"/>
      </bottom>
      <diagonal/>
    </border>
    <border>
      <left/>
      <right style="medium">
        <color theme="0" tint="-0.1498458815271462"/>
      </right>
      <top/>
      <bottom style="medium">
        <color theme="0" tint="-0.14984588152714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14996795556505021"/>
      </left>
      <right style="thin">
        <color theme="0" tint="-4.9989318521683403E-2"/>
      </right>
      <top style="medium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0.14996795556505021"/>
      </right>
      <top style="medium">
        <color theme="0" tint="-0.14996795556505021"/>
      </top>
      <bottom style="thin">
        <color theme="0" tint="-4.9989318521683403E-2"/>
      </bottom>
      <diagonal/>
    </border>
    <border>
      <left style="medium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medium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0.149967955565050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0" tint="-0.14996795556505021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medium">
        <color theme="0" tint="-0.1499679555650502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0.149876400036622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0" tint="-0.149876400036622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/>
      </bottom>
      <diagonal/>
    </border>
  </borders>
  <cellStyleXfs count="5">
    <xf numFmtId="0" fontId="0" fillId="0" borderId="0"/>
    <xf numFmtId="9" fontId="2" fillId="0" borderId="0"/>
    <xf numFmtId="9" fontId="2" fillId="0" borderId="0"/>
    <xf numFmtId="9" fontId="2" fillId="0" borderId="0"/>
    <xf numFmtId="9" fontId="2" fillId="0" borderId="0" applyFont="0" applyFill="0" applyBorder="0" applyAlignment="0" applyProtection="0"/>
  </cellStyleXfs>
  <cellXfs count="398">
    <xf numFmtId="0" fontId="0" fillId="0" borderId="0" xfId="0"/>
    <xf numFmtId="0" fontId="4" fillId="7" borderId="1" xfId="0" applyFont="1" applyFill="1" applyBorder="1" applyAlignment="1">
      <alignment horizontal="left"/>
    </xf>
    <xf numFmtId="3" fontId="7" fillId="5" borderId="1" xfId="0" applyNumberFormat="1" applyFont="1" applyFill="1" applyBorder="1" applyAlignment="1">
      <alignment horizontal="right"/>
    </xf>
    <xf numFmtId="3" fontId="9" fillId="3" borderId="1" xfId="0" applyNumberFormat="1" applyFont="1" applyFill="1" applyBorder="1" applyAlignment="1">
      <alignment horizontal="right"/>
    </xf>
    <xf numFmtId="9" fontId="9" fillId="3" borderId="1" xfId="1" applyFont="1" applyFill="1" applyBorder="1" applyAlignment="1">
      <alignment horizontal="right"/>
    </xf>
    <xf numFmtId="0" fontId="1" fillId="6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right"/>
    </xf>
    <xf numFmtId="0" fontId="7" fillId="13" borderId="0" xfId="0" applyFont="1" applyFill="1" applyAlignment="1">
      <alignment horizontal="left"/>
    </xf>
    <xf numFmtId="164" fontId="8" fillId="13" borderId="0" xfId="0" applyNumberFormat="1" applyFont="1" applyFill="1" applyAlignment="1">
      <alignment horizontal="left"/>
    </xf>
    <xf numFmtId="0" fontId="25" fillId="7" borderId="1" xfId="0" applyFont="1" applyFill="1" applyBorder="1" applyAlignment="1">
      <alignment horizontal="right"/>
    </xf>
    <xf numFmtId="0" fontId="4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horizontal="right"/>
    </xf>
    <xf numFmtId="3" fontId="9" fillId="3" borderId="6" xfId="0" applyNumberFormat="1" applyFont="1" applyFill="1" applyBorder="1" applyAlignment="1">
      <alignment horizontal="right"/>
    </xf>
    <xf numFmtId="0" fontId="24" fillId="13" borderId="0" xfId="0" applyFont="1" applyFill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3" fontId="9" fillId="3" borderId="2" xfId="0" applyNumberFormat="1" applyFont="1" applyFill="1" applyBorder="1" applyAlignment="1">
      <alignment horizontal="right"/>
    </xf>
    <xf numFmtId="167" fontId="6" fillId="7" borderId="6" xfId="0" applyNumberFormat="1" applyFont="1" applyFill="1" applyBorder="1" applyAlignment="1">
      <alignment horizontal="right"/>
    </xf>
    <xf numFmtId="167" fontId="6" fillId="7" borderId="8" xfId="0" applyNumberFormat="1" applyFont="1" applyFill="1" applyBorder="1" applyAlignment="1">
      <alignment horizontal="right"/>
    </xf>
    <xf numFmtId="0" fontId="4" fillId="13" borderId="0" xfId="0" applyFont="1" applyFill="1" applyAlignment="1">
      <alignment horizontal="left"/>
    </xf>
    <xf numFmtId="169" fontId="1" fillId="7" borderId="6" xfId="0" applyNumberFormat="1" applyFont="1" applyFill="1" applyBorder="1" applyAlignment="1">
      <alignment horizontal="right"/>
    </xf>
    <xf numFmtId="3" fontId="0" fillId="7" borderId="1" xfId="0" applyNumberFormat="1" applyFill="1" applyBorder="1" applyAlignment="1">
      <alignment horizontal="right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27" fillId="15" borderId="1" xfId="1" applyNumberFormat="1" applyFont="1" applyFill="1" applyBorder="1" applyAlignment="1">
      <alignment horizontal="right"/>
    </xf>
    <xf numFmtId="0" fontId="0" fillId="9" borderId="1" xfId="0" applyFill="1" applyBorder="1" applyAlignment="1">
      <alignment horizontal="center"/>
    </xf>
    <xf numFmtId="9" fontId="9" fillId="3" borderId="6" xfId="1" applyFont="1" applyFill="1" applyBorder="1" applyAlignment="1">
      <alignment horizontal="right"/>
    </xf>
    <xf numFmtId="9" fontId="9" fillId="3" borderId="4" xfId="1" applyFont="1" applyFill="1" applyBorder="1" applyAlignment="1">
      <alignment horizontal="right"/>
    </xf>
    <xf numFmtId="3" fontId="10" fillId="5" borderId="1" xfId="0" applyNumberFormat="1" applyFont="1" applyFill="1" applyBorder="1" applyAlignment="1">
      <alignment horizontal="right"/>
    </xf>
    <xf numFmtId="3" fontId="1" fillId="5" borderId="1" xfId="0" applyNumberFormat="1" applyFont="1" applyFill="1" applyBorder="1" applyAlignment="1">
      <alignment horizontal="right"/>
    </xf>
    <xf numFmtId="164" fontId="29" fillId="15" borderId="1" xfId="1" applyNumberFormat="1" applyFont="1" applyFill="1" applyBorder="1" applyAlignment="1">
      <alignment horizontal="right"/>
    </xf>
    <xf numFmtId="164" fontId="29" fillId="15" borderId="2" xfId="1" applyNumberFormat="1" applyFont="1" applyFill="1" applyBorder="1" applyAlignment="1">
      <alignment horizontal="right"/>
    </xf>
    <xf numFmtId="173" fontId="16" fillId="7" borderId="6" xfId="0" applyNumberFormat="1" applyFont="1" applyFill="1" applyBorder="1" applyAlignment="1">
      <alignment horizontal="right"/>
    </xf>
    <xf numFmtId="0" fontId="1" fillId="13" borderId="0" xfId="0" applyFont="1" applyFill="1" applyAlignment="1">
      <alignment horizontal="right" vertical="center"/>
    </xf>
    <xf numFmtId="0" fontId="0" fillId="13" borderId="10" xfId="0" applyFill="1" applyBorder="1"/>
    <xf numFmtId="0" fontId="0" fillId="13" borderId="11" xfId="0" applyFill="1" applyBorder="1"/>
    <xf numFmtId="0" fontId="6" fillId="13" borderId="11" xfId="0" applyFont="1" applyFill="1" applyBorder="1"/>
    <xf numFmtId="0" fontId="0" fillId="13" borderId="12" xfId="0" applyFill="1" applyBorder="1"/>
    <xf numFmtId="0" fontId="0" fillId="13" borderId="13" xfId="0" applyFill="1" applyBorder="1"/>
    <xf numFmtId="0" fontId="12" fillId="13" borderId="0" xfId="0" applyFont="1" applyFill="1"/>
    <xf numFmtId="0" fontId="11" fillId="13" borderId="0" xfId="0" applyFont="1" applyFill="1"/>
    <xf numFmtId="0" fontId="1" fillId="13" borderId="0" xfId="0" applyFont="1" applyFill="1"/>
    <xf numFmtId="0" fontId="6" fillId="13" borderId="0" xfId="0" applyFont="1" applyFill="1"/>
    <xf numFmtId="0" fontId="0" fillId="13" borderId="0" xfId="0" applyFill="1"/>
    <xf numFmtId="0" fontId="1" fillId="13" borderId="0" xfId="0" applyFont="1" applyFill="1" applyAlignment="1">
      <alignment horizontal="right"/>
    </xf>
    <xf numFmtId="0" fontId="1" fillId="13" borderId="14" xfId="0" applyFont="1" applyFill="1" applyBorder="1"/>
    <xf numFmtId="0" fontId="0" fillId="13" borderId="14" xfId="0" applyFill="1" applyBorder="1"/>
    <xf numFmtId="0" fontId="1" fillId="9" borderId="2" xfId="0" applyFont="1" applyFill="1" applyBorder="1"/>
    <xf numFmtId="0" fontId="11" fillId="9" borderId="3" xfId="0" applyFont="1" applyFill="1" applyBorder="1"/>
    <xf numFmtId="0" fontId="1" fillId="9" borderId="3" xfId="0" applyFont="1" applyFill="1" applyBorder="1"/>
    <xf numFmtId="0" fontId="6" fillId="9" borderId="4" xfId="0" applyFont="1" applyFill="1" applyBorder="1"/>
    <xf numFmtId="0" fontId="9" fillId="13" borderId="0" xfId="0" applyFont="1" applyFill="1"/>
    <xf numFmtId="166" fontId="0" fillId="7" borderId="6" xfId="0" applyNumberFormat="1" applyFill="1" applyBorder="1"/>
    <xf numFmtId="0" fontId="0" fillId="6" borderId="1" xfId="0" applyFill="1" applyBorder="1"/>
    <xf numFmtId="3" fontId="9" fillId="3" borderId="1" xfId="0" applyNumberFormat="1" applyFont="1" applyFill="1" applyBorder="1"/>
    <xf numFmtId="3" fontId="7" fillId="5" borderId="1" xfId="0" applyNumberFormat="1" applyFont="1" applyFill="1" applyBorder="1"/>
    <xf numFmtId="3" fontId="6" fillId="5" borderId="1" xfId="0" applyNumberFormat="1" applyFont="1" applyFill="1" applyBorder="1"/>
    <xf numFmtId="3" fontId="7" fillId="8" borderId="1" xfId="0" applyNumberFormat="1" applyFont="1" applyFill="1" applyBorder="1"/>
    <xf numFmtId="3" fontId="6" fillId="8" borderId="1" xfId="0" applyNumberFormat="1" applyFont="1" applyFill="1" applyBorder="1"/>
    <xf numFmtId="10" fontId="7" fillId="5" borderId="1" xfId="0" applyNumberFormat="1" applyFont="1" applyFill="1" applyBorder="1"/>
    <xf numFmtId="10" fontId="6" fillId="5" borderId="1" xfId="0" applyNumberFormat="1" applyFont="1" applyFill="1" applyBorder="1"/>
    <xf numFmtId="4" fontId="7" fillId="8" borderId="1" xfId="0" applyNumberFormat="1" applyFont="1" applyFill="1" applyBorder="1"/>
    <xf numFmtId="4" fontId="6" fillId="8" borderId="1" xfId="0" applyNumberFormat="1" applyFont="1" applyFill="1" applyBorder="1"/>
    <xf numFmtId="9" fontId="9" fillId="3" borderId="1" xfId="0" applyNumberFormat="1" applyFont="1" applyFill="1" applyBorder="1"/>
    <xf numFmtId="0" fontId="1" fillId="6" borderId="1" xfId="0" applyFont="1" applyFill="1" applyBorder="1"/>
    <xf numFmtId="165" fontId="7" fillId="5" borderId="1" xfId="0" applyNumberFormat="1" applyFont="1" applyFill="1" applyBorder="1"/>
    <xf numFmtId="165" fontId="6" fillId="5" borderId="1" xfId="0" applyNumberFormat="1" applyFont="1" applyFill="1" applyBorder="1"/>
    <xf numFmtId="9" fontId="7" fillId="5" borderId="1" xfId="0" applyNumberFormat="1" applyFont="1" applyFill="1" applyBorder="1"/>
    <xf numFmtId="9" fontId="6" fillId="5" borderId="1" xfId="0" applyNumberFormat="1" applyFont="1" applyFill="1" applyBorder="1"/>
    <xf numFmtId="164" fontId="7" fillId="8" borderId="1" xfId="0" applyNumberFormat="1" applyFont="1" applyFill="1" applyBorder="1"/>
    <xf numFmtId="164" fontId="6" fillId="8" borderId="1" xfId="0" applyNumberFormat="1" applyFont="1" applyFill="1" applyBorder="1"/>
    <xf numFmtId="9" fontId="7" fillId="8" borderId="1" xfId="0" applyNumberFormat="1" applyFont="1" applyFill="1" applyBorder="1"/>
    <xf numFmtId="9" fontId="6" fillId="8" borderId="1" xfId="0" applyNumberFormat="1" applyFont="1" applyFill="1" applyBorder="1"/>
    <xf numFmtId="0" fontId="0" fillId="13" borderId="15" xfId="0" applyFill="1" applyBorder="1"/>
    <xf numFmtId="0" fontId="0" fillId="13" borderId="16" xfId="0" applyFill="1" applyBorder="1"/>
    <xf numFmtId="0" fontId="6" fillId="13" borderId="16" xfId="0" applyFont="1" applyFill="1" applyBorder="1"/>
    <xf numFmtId="0" fontId="0" fillId="13" borderId="17" xfId="0" applyFill="1" applyBorder="1"/>
    <xf numFmtId="0" fontId="9" fillId="0" borderId="0" xfId="0" applyFont="1"/>
    <xf numFmtId="0" fontId="6" fillId="0" borderId="0" xfId="0" applyFont="1"/>
    <xf numFmtId="173" fontId="1" fillId="16" borderId="1" xfId="0" applyNumberFormat="1" applyFont="1" applyFill="1" applyBorder="1" applyAlignment="1">
      <alignment horizontal="right" vertical="center"/>
    </xf>
    <xf numFmtId="0" fontId="3" fillId="0" borderId="0" xfId="0" applyFont="1"/>
    <xf numFmtId="3" fontId="0" fillId="5" borderId="1" xfId="0" quotePrefix="1" applyNumberFormat="1" applyFill="1" applyBorder="1"/>
    <xf numFmtId="3" fontId="1" fillId="8" borderId="1" xfId="0" applyNumberFormat="1" applyFont="1" applyFill="1" applyBorder="1"/>
    <xf numFmtId="3" fontId="0" fillId="8" borderId="1" xfId="0" applyNumberFormat="1" applyFill="1" applyBorder="1"/>
    <xf numFmtId="0" fontId="14" fillId="13" borderId="1" xfId="0" applyFont="1" applyFill="1" applyBorder="1"/>
    <xf numFmtId="3" fontId="14" fillId="13" borderId="1" xfId="0" applyNumberFormat="1" applyFont="1" applyFill="1" applyBorder="1"/>
    <xf numFmtId="0" fontId="15" fillId="13" borderId="13" xfId="0" applyFont="1" applyFill="1" applyBorder="1"/>
    <xf numFmtId="3" fontId="15" fillId="6" borderId="1" xfId="0" quotePrefix="1" applyNumberFormat="1" applyFont="1" applyFill="1" applyBorder="1"/>
    <xf numFmtId="3" fontId="15" fillId="6" borderId="1" xfId="0" applyNumberFormat="1" applyFont="1" applyFill="1" applyBorder="1"/>
    <xf numFmtId="0" fontId="15" fillId="13" borderId="0" xfId="0" applyFont="1" applyFill="1"/>
    <xf numFmtId="0" fontId="15" fillId="13" borderId="14" xfId="0" applyFont="1" applyFill="1" applyBorder="1"/>
    <xf numFmtId="0" fontId="15" fillId="0" borderId="0" xfId="0" applyFont="1"/>
    <xf numFmtId="0" fontId="21" fillId="0" borderId="0" xfId="0" applyFont="1"/>
    <xf numFmtId="0" fontId="15" fillId="6" borderId="1" xfId="0" quotePrefix="1" applyFont="1" applyFill="1" applyBorder="1"/>
    <xf numFmtId="3" fontId="9" fillId="13" borderId="0" xfId="0" applyNumberFormat="1" applyFont="1" applyFill="1"/>
    <xf numFmtId="3" fontId="18" fillId="13" borderId="0" xfId="0" applyNumberFormat="1" applyFont="1" applyFill="1"/>
    <xf numFmtId="3" fontId="5" fillId="4" borderId="1" xfId="0" quotePrefix="1" applyNumberFormat="1" applyFont="1" applyFill="1" applyBorder="1" applyAlignment="1">
      <alignment horizontal="right"/>
    </xf>
    <xf numFmtId="9" fontId="11" fillId="12" borderId="1" xfId="1" applyFont="1" applyFill="1" applyBorder="1"/>
    <xf numFmtId="3" fontId="26" fillId="6" borderId="1" xfId="0" quotePrefix="1" applyNumberFormat="1" applyFont="1" applyFill="1" applyBorder="1"/>
    <xf numFmtId="3" fontId="26" fillId="6" borderId="1" xfId="0" applyNumberFormat="1" applyFont="1" applyFill="1" applyBorder="1"/>
    <xf numFmtId="3" fontId="0" fillId="5" borderId="1" xfId="0" applyNumberFormat="1" applyFill="1" applyBorder="1"/>
    <xf numFmtId="0" fontId="0" fillId="13" borderId="18" xfId="0" applyFill="1" applyBorder="1"/>
    <xf numFmtId="0" fontId="0" fillId="13" borderId="19" xfId="0" applyFill="1" applyBorder="1"/>
    <xf numFmtId="0" fontId="9" fillId="13" borderId="19" xfId="0" applyFont="1" applyFill="1" applyBorder="1"/>
    <xf numFmtId="0" fontId="0" fillId="13" borderId="20" xfId="0" applyFill="1" applyBorder="1"/>
    <xf numFmtId="0" fontId="1" fillId="13" borderId="21" xfId="0" applyFont="1" applyFill="1" applyBorder="1"/>
    <xf numFmtId="0" fontId="1" fillId="13" borderId="22" xfId="0" applyFont="1" applyFill="1" applyBorder="1"/>
    <xf numFmtId="0" fontId="0" fillId="13" borderId="21" xfId="0" applyFill="1" applyBorder="1"/>
    <xf numFmtId="0" fontId="12" fillId="13" borderId="22" xfId="0" applyFont="1" applyFill="1" applyBorder="1"/>
    <xf numFmtId="0" fontId="0" fillId="13" borderId="22" xfId="0" applyFill="1" applyBorder="1"/>
    <xf numFmtId="3" fontId="8" fillId="8" borderId="1" xfId="0" applyNumberFormat="1" applyFont="1" applyFill="1" applyBorder="1"/>
    <xf numFmtId="0" fontId="15" fillId="6" borderId="5" xfId="0" applyFont="1" applyFill="1" applyBorder="1"/>
    <xf numFmtId="3" fontId="0" fillId="6" borderId="5" xfId="0" applyNumberFormat="1" applyFill="1" applyBorder="1"/>
    <xf numFmtId="0" fontId="15" fillId="6" borderId="1" xfId="0" applyFont="1" applyFill="1" applyBorder="1"/>
    <xf numFmtId="3" fontId="0" fillId="6" borderId="1" xfId="0" applyNumberFormat="1" applyFill="1" applyBorder="1"/>
    <xf numFmtId="3" fontId="9" fillId="3" borderId="3" xfId="0" applyNumberFormat="1" applyFont="1" applyFill="1" applyBorder="1"/>
    <xf numFmtId="0" fontId="15" fillId="13" borderId="21" xfId="0" applyFont="1" applyFill="1" applyBorder="1"/>
    <xf numFmtId="0" fontId="0" fillId="13" borderId="23" xfId="0" applyFill="1" applyBorder="1"/>
    <xf numFmtId="0" fontId="0" fillId="13" borderId="24" xfId="0" applyFill="1" applyBorder="1"/>
    <xf numFmtId="0" fontId="9" fillId="13" borderId="24" xfId="0" applyFont="1" applyFill="1" applyBorder="1"/>
    <xf numFmtId="3" fontId="18" fillId="13" borderId="24" xfId="0" applyNumberFormat="1" applyFont="1" applyFill="1" applyBorder="1"/>
    <xf numFmtId="0" fontId="0" fillId="13" borderId="25" xfId="0" applyFill="1" applyBorder="1"/>
    <xf numFmtId="3" fontId="0" fillId="0" borderId="0" xfId="0" applyNumberFormat="1"/>
    <xf numFmtId="0" fontId="0" fillId="13" borderId="27" xfId="0" applyFill="1" applyBorder="1"/>
    <xf numFmtId="0" fontId="0" fillId="13" borderId="28" xfId="0" applyFill="1" applyBorder="1"/>
    <xf numFmtId="0" fontId="0" fillId="13" borderId="36" xfId="0" applyFill="1" applyBorder="1"/>
    <xf numFmtId="0" fontId="0" fillId="13" borderId="29" xfId="0" applyFill="1" applyBorder="1"/>
    <xf numFmtId="0" fontId="0" fillId="13" borderId="30" xfId="0" applyFill="1" applyBorder="1"/>
    <xf numFmtId="0" fontId="12" fillId="13" borderId="26" xfId="0" applyFont="1" applyFill="1" applyBorder="1"/>
    <xf numFmtId="0" fontId="1" fillId="13" borderId="26" xfId="0" applyFont="1" applyFill="1" applyBorder="1"/>
    <xf numFmtId="0" fontId="0" fillId="13" borderId="35" xfId="0" applyFill="1" applyBorder="1"/>
    <xf numFmtId="0" fontId="0" fillId="13" borderId="26" xfId="0" applyFill="1" applyBorder="1"/>
    <xf numFmtId="0" fontId="0" fillId="13" borderId="37" xfId="0" applyFill="1" applyBorder="1"/>
    <xf numFmtId="0" fontId="0" fillId="13" borderId="31" xfId="0" applyFill="1" applyBorder="1"/>
    <xf numFmtId="167" fontId="1" fillId="13" borderId="38" xfId="0" applyNumberFormat="1" applyFont="1" applyFill="1" applyBorder="1" applyAlignment="1">
      <alignment horizontal="right"/>
    </xf>
    <xf numFmtId="0" fontId="0" fillId="13" borderId="43" xfId="0" applyFill="1" applyBorder="1"/>
    <xf numFmtId="3" fontId="15" fillId="7" borderId="1" xfId="0" quotePrefix="1" applyNumberFormat="1" applyFont="1" applyFill="1" applyBorder="1"/>
    <xf numFmtId="3" fontId="15" fillId="7" borderId="1" xfId="0" applyNumberFormat="1" applyFont="1" applyFill="1" applyBorder="1"/>
    <xf numFmtId="0" fontId="0" fillId="13" borderId="42" xfId="0" applyFill="1" applyBorder="1"/>
    <xf numFmtId="0" fontId="0" fillId="13" borderId="39" xfId="0" applyFill="1" applyBorder="1"/>
    <xf numFmtId="0" fontId="0" fillId="13" borderId="41" xfId="0" applyFill="1" applyBorder="1"/>
    <xf numFmtId="3" fontId="19" fillId="13" borderId="39" xfId="0" applyNumberFormat="1" applyFont="1" applyFill="1" applyBorder="1"/>
    <xf numFmtId="168" fontId="19" fillId="13" borderId="37" xfId="0" applyNumberFormat="1" applyFont="1" applyFill="1" applyBorder="1"/>
    <xf numFmtId="0" fontId="21" fillId="13" borderId="26" xfId="0" applyFont="1" applyFill="1" applyBorder="1"/>
    <xf numFmtId="0" fontId="0" fillId="13" borderId="32" xfId="0" applyFill="1" applyBorder="1"/>
    <xf numFmtId="0" fontId="0" fillId="13" borderId="44" xfId="0" applyFill="1" applyBorder="1"/>
    <xf numFmtId="0" fontId="0" fillId="13" borderId="33" xfId="0" applyFill="1" applyBorder="1"/>
    <xf numFmtId="0" fontId="0" fillId="7" borderId="1" xfId="0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0" fontId="1" fillId="6" borderId="2" xfId="0" applyFont="1" applyFill="1" applyBorder="1"/>
    <xf numFmtId="3" fontId="1" fillId="5" borderId="1" xfId="0" applyNumberFormat="1" applyFont="1" applyFill="1" applyBorder="1"/>
    <xf numFmtId="164" fontId="11" fillId="12" borderId="4" xfId="1" applyNumberFormat="1" applyFont="1" applyFill="1" applyBorder="1"/>
    <xf numFmtId="3" fontId="1" fillId="2" borderId="1" xfId="0" applyNumberFormat="1" applyFont="1" applyFill="1" applyBorder="1"/>
    <xf numFmtId="3" fontId="1" fillId="13" borderId="0" xfId="0" applyNumberFormat="1" applyFont="1" applyFill="1"/>
    <xf numFmtId="3" fontId="1" fillId="2" borderId="6" xfId="0" applyNumberFormat="1" applyFont="1" applyFill="1" applyBorder="1"/>
    <xf numFmtId="0" fontId="0" fillId="7" borderId="6" xfId="0" applyFill="1" applyBorder="1" applyAlignment="1">
      <alignment horizontal="right"/>
    </xf>
    <xf numFmtId="0" fontId="0" fillId="13" borderId="0" xfId="0" applyFill="1" applyAlignment="1">
      <alignment horizontal="right"/>
    </xf>
    <xf numFmtId="0" fontId="1" fillId="6" borderId="6" xfId="0" applyFont="1" applyFill="1" applyBorder="1"/>
    <xf numFmtId="3" fontId="0" fillId="5" borderId="8" xfId="0" applyNumberFormat="1" applyFill="1" applyBorder="1"/>
    <xf numFmtId="3" fontId="0" fillId="13" borderId="0" xfId="0" applyNumberFormat="1" applyFill="1"/>
    <xf numFmtId="0" fontId="28" fillId="13" borderId="0" xfId="0" applyFont="1" applyFill="1"/>
    <xf numFmtId="3" fontId="22" fillId="5" borderId="1" xfId="0" applyNumberFormat="1" applyFont="1" applyFill="1" applyBorder="1"/>
    <xf numFmtId="165" fontId="11" fillId="12" borderId="1" xfId="0" applyNumberFormat="1" applyFont="1" applyFill="1" applyBorder="1"/>
    <xf numFmtId="3" fontId="7" fillId="5" borderId="4" xfId="0" applyNumberFormat="1" applyFont="1" applyFill="1" applyBorder="1"/>
    <xf numFmtId="0" fontId="1" fillId="6" borderId="5" xfId="0" applyFont="1" applyFill="1" applyBorder="1"/>
    <xf numFmtId="3" fontId="0" fillId="5" borderId="6" xfId="0" applyNumberFormat="1" applyFill="1" applyBorder="1"/>
    <xf numFmtId="0" fontId="1" fillId="6" borderId="9" xfId="0" applyFont="1" applyFill="1" applyBorder="1"/>
    <xf numFmtId="0" fontId="1" fillId="0" borderId="0" xfId="0" applyFont="1"/>
    <xf numFmtId="0" fontId="0" fillId="13" borderId="38" xfId="0" applyFill="1" applyBorder="1"/>
    <xf numFmtId="0" fontId="0" fillId="13" borderId="50" xfId="0" applyFill="1" applyBorder="1"/>
    <xf numFmtId="0" fontId="0" fillId="13" borderId="34" xfId="0" applyFill="1" applyBorder="1"/>
    <xf numFmtId="0" fontId="0" fillId="13" borderId="52" xfId="0" applyFill="1" applyBorder="1"/>
    <xf numFmtId="0" fontId="0" fillId="13" borderId="40" xfId="0" applyFill="1" applyBorder="1"/>
    <xf numFmtId="0" fontId="0" fillId="13" borderId="50" xfId="0" applyFill="1" applyBorder="1" applyAlignment="1">
      <alignment horizontal="right"/>
    </xf>
    <xf numFmtId="9" fontId="10" fillId="12" borderId="1" xfId="1" applyFont="1" applyFill="1" applyBorder="1"/>
    <xf numFmtId="9" fontId="10" fillId="12" borderId="1" xfId="0" applyNumberFormat="1" applyFont="1" applyFill="1" applyBorder="1"/>
    <xf numFmtId="3" fontId="11" fillId="12" borderId="1" xfId="1" applyNumberFormat="1" applyFont="1" applyFill="1" applyBorder="1"/>
    <xf numFmtId="3" fontId="1" fillId="4" borderId="1" xfId="0" applyNumberFormat="1" applyFont="1" applyFill="1" applyBorder="1"/>
    <xf numFmtId="0" fontId="0" fillId="13" borderId="49" xfId="0" applyFill="1" applyBorder="1"/>
    <xf numFmtId="1" fontId="11" fillId="12" borderId="1" xfId="0" applyNumberFormat="1" applyFont="1" applyFill="1" applyBorder="1"/>
    <xf numFmtId="9" fontId="9" fillId="12" borderId="4" xfId="1" applyFont="1" applyFill="1" applyBorder="1"/>
    <xf numFmtId="164" fontId="10" fillId="12" borderId="1" xfId="1" applyNumberFormat="1" applyFont="1" applyFill="1" applyBorder="1"/>
    <xf numFmtId="164" fontId="23" fillId="10" borderId="4" xfId="1" applyNumberFormat="1" applyFont="1" applyFill="1" applyBorder="1"/>
    <xf numFmtId="0" fontId="20" fillId="4" borderId="2" xfId="0" applyFont="1" applyFill="1" applyBorder="1"/>
    <xf numFmtId="3" fontId="22" fillId="4" borderId="5" xfId="0" applyNumberFormat="1" applyFont="1" applyFill="1" applyBorder="1"/>
    <xf numFmtId="3" fontId="22" fillId="5" borderId="6" xfId="0" applyNumberFormat="1" applyFont="1" applyFill="1" applyBorder="1"/>
    <xf numFmtId="164" fontId="23" fillId="10" borderId="1" xfId="1" applyNumberFormat="1" applyFont="1" applyFill="1" applyBorder="1"/>
    <xf numFmtId="3" fontId="22" fillId="5" borderId="5" xfId="0" applyNumberFormat="1" applyFont="1" applyFill="1" applyBorder="1"/>
    <xf numFmtId="0" fontId="0" fillId="13" borderId="54" xfId="0" applyFill="1" applyBorder="1"/>
    <xf numFmtId="3" fontId="11" fillId="12" borderId="1" xfId="0" applyNumberFormat="1" applyFont="1" applyFill="1" applyBorder="1"/>
    <xf numFmtId="3" fontId="14" fillId="4" borderId="1" xfId="0" applyNumberFormat="1" applyFont="1" applyFill="1" applyBorder="1"/>
    <xf numFmtId="0" fontId="1" fillId="6" borderId="1" xfId="0" quotePrefix="1" applyFont="1" applyFill="1" applyBorder="1"/>
    <xf numFmtId="3" fontId="5" fillId="5" borderId="1" xfId="0" applyNumberFormat="1" applyFont="1" applyFill="1" applyBorder="1"/>
    <xf numFmtId="0" fontId="1" fillId="7" borderId="1" xfId="0" quotePrefix="1" applyFont="1" applyFill="1" applyBorder="1"/>
    <xf numFmtId="3" fontId="5" fillId="6" borderId="1" xfId="0" applyNumberFormat="1" applyFont="1" applyFill="1" applyBorder="1"/>
    <xf numFmtId="3" fontId="17" fillId="6" borderId="1" xfId="0" quotePrefix="1" applyNumberFormat="1" applyFont="1" applyFill="1" applyBorder="1"/>
    <xf numFmtId="3" fontId="6" fillId="2" borderId="1" xfId="0" applyNumberFormat="1" applyFont="1" applyFill="1" applyBorder="1"/>
    <xf numFmtId="0" fontId="5" fillId="14" borderId="1" xfId="0" applyFont="1" applyFill="1" applyBorder="1"/>
    <xf numFmtId="3" fontId="8" fillId="14" borderId="1" xfId="0" applyNumberFormat="1" applyFont="1" applyFill="1" applyBorder="1"/>
    <xf numFmtId="0" fontId="5" fillId="11" borderId="1" xfId="0" applyFont="1" applyFill="1" applyBorder="1"/>
    <xf numFmtId="168" fontId="11" fillId="11" borderId="1" xfId="0" applyNumberFormat="1" applyFont="1" applyFill="1" applyBorder="1"/>
    <xf numFmtId="3" fontId="5" fillId="14" borderId="1" xfId="0" applyNumberFormat="1" applyFont="1" applyFill="1" applyBorder="1"/>
    <xf numFmtId="3" fontId="5" fillId="9" borderId="1" xfId="0" applyNumberFormat="1" applyFont="1" applyFill="1" applyBorder="1"/>
    <xf numFmtId="9" fontId="11" fillId="12" borderId="1" xfId="0" applyNumberFormat="1" applyFont="1" applyFill="1" applyBorder="1"/>
    <xf numFmtId="0" fontId="0" fillId="7" borderId="1" xfId="0" applyFill="1" applyBorder="1"/>
    <xf numFmtId="3" fontId="11" fillId="13" borderId="26" xfId="1" applyNumberFormat="1" applyFont="1" applyFill="1" applyBorder="1"/>
    <xf numFmtId="0" fontId="7" fillId="0" borderId="0" xfId="0" applyFont="1"/>
    <xf numFmtId="173" fontId="30" fillId="16" borderId="1" xfId="0" applyNumberFormat="1" applyFont="1" applyFill="1" applyBorder="1" applyAlignment="1">
      <alignment horizontal="right" vertical="center"/>
    </xf>
    <xf numFmtId="0" fontId="1" fillId="13" borderId="30" xfId="0" applyFont="1" applyFill="1" applyBorder="1"/>
    <xf numFmtId="0" fontId="1" fillId="13" borderId="34" xfId="0" applyFont="1" applyFill="1" applyBorder="1"/>
    <xf numFmtId="0" fontId="1" fillId="13" borderId="31" xfId="0" applyFont="1" applyFill="1" applyBorder="1"/>
    <xf numFmtId="3" fontId="9" fillId="3" borderId="2" xfId="0" applyNumberFormat="1" applyFont="1" applyFill="1" applyBorder="1"/>
    <xf numFmtId="3" fontId="1" fillId="5" borderId="2" xfId="0" applyNumberFormat="1" applyFont="1" applyFill="1" applyBorder="1"/>
    <xf numFmtId="10" fontId="10" fillId="12" borderId="1" xfId="1" applyNumberFormat="1" applyFont="1" applyFill="1" applyBorder="1"/>
    <xf numFmtId="3" fontId="8" fillId="14" borderId="5" xfId="0" applyNumberFormat="1" applyFont="1" applyFill="1" applyBorder="1"/>
    <xf numFmtId="3" fontId="9" fillId="13" borderId="49" xfId="0" applyNumberFormat="1" applyFont="1" applyFill="1" applyBorder="1"/>
    <xf numFmtId="0" fontId="9" fillId="13" borderId="37" xfId="0" applyFont="1" applyFill="1" applyBorder="1"/>
    <xf numFmtId="0" fontId="9" fillId="13" borderId="39" xfId="0" applyFont="1" applyFill="1" applyBorder="1"/>
    <xf numFmtId="0" fontId="9" fillId="13" borderId="38" xfId="0" applyFont="1" applyFill="1" applyBorder="1"/>
    <xf numFmtId="0" fontId="5" fillId="13" borderId="40" xfId="0" applyFont="1" applyFill="1" applyBorder="1"/>
    <xf numFmtId="3" fontId="22" fillId="5" borderId="1" xfId="1" applyNumberFormat="1" applyFont="1" applyFill="1" applyBorder="1"/>
    <xf numFmtId="3" fontId="1" fillId="5" borderId="1" xfId="1" applyNumberFormat="1" applyFont="1" applyFill="1" applyBorder="1"/>
    <xf numFmtId="0" fontId="1" fillId="7" borderId="1" xfId="0" applyFont="1" applyFill="1" applyBorder="1"/>
    <xf numFmtId="3" fontId="14" fillId="13" borderId="1" xfId="1" applyNumberFormat="1" applyFont="1" applyFill="1" applyBorder="1"/>
    <xf numFmtId="164" fontId="23" fillId="2" borderId="2" xfId="1" applyNumberFormat="1" applyFont="1" applyFill="1" applyBorder="1"/>
    <xf numFmtId="164" fontId="11" fillId="12" borderId="1" xfId="1" applyNumberFormat="1" applyFont="1" applyFill="1" applyBorder="1"/>
    <xf numFmtId="0" fontId="0" fillId="13" borderId="51" xfId="0" applyFill="1" applyBorder="1"/>
    <xf numFmtId="3" fontId="1" fillId="6" borderId="1" xfId="0" applyNumberFormat="1" applyFont="1" applyFill="1" applyBorder="1"/>
    <xf numFmtId="3" fontId="1" fillId="7" borderId="1" xfId="0" applyNumberFormat="1" applyFont="1" applyFill="1" applyBorder="1"/>
    <xf numFmtId="0" fontId="9" fillId="13" borderId="44" xfId="0" applyFont="1" applyFill="1" applyBorder="1"/>
    <xf numFmtId="0" fontId="12" fillId="13" borderId="30" xfId="0" applyFont="1" applyFill="1" applyBorder="1"/>
    <xf numFmtId="0" fontId="12" fillId="13" borderId="34" xfId="0" applyFont="1" applyFill="1" applyBorder="1"/>
    <xf numFmtId="0" fontId="12" fillId="13" borderId="35" xfId="0" applyFont="1" applyFill="1" applyBorder="1"/>
    <xf numFmtId="0" fontId="13" fillId="0" borderId="0" xfId="0" applyFont="1"/>
    <xf numFmtId="0" fontId="0" fillId="6" borderId="1" xfId="0" applyFill="1" applyBorder="1" applyAlignment="1">
      <alignment horizontal="right"/>
    </xf>
    <xf numFmtId="9" fontId="10" fillId="12" borderId="6" xfId="4" applyFont="1" applyFill="1" applyBorder="1" applyAlignment="1"/>
    <xf numFmtId="170" fontId="10" fillId="12" borderId="1" xfId="0" applyNumberFormat="1" applyFont="1" applyFill="1" applyBorder="1"/>
    <xf numFmtId="167" fontId="1" fillId="6" borderId="1" xfId="0" applyNumberFormat="1" applyFont="1" applyFill="1" applyBorder="1"/>
    <xf numFmtId="3" fontId="7" fillId="11" borderId="1" xfId="0" applyNumberFormat="1" applyFont="1" applyFill="1" applyBorder="1"/>
    <xf numFmtId="167" fontId="7" fillId="5" borderId="1" xfId="0" applyNumberFormat="1" applyFont="1" applyFill="1" applyBorder="1"/>
    <xf numFmtId="0" fontId="9" fillId="6" borderId="1" xfId="0" applyFont="1" applyFill="1" applyBorder="1"/>
    <xf numFmtId="3" fontId="10" fillId="5" borderId="1" xfId="0" applyNumberFormat="1" applyFont="1" applyFill="1" applyBorder="1"/>
    <xf numFmtId="171" fontId="10" fillId="5" borderId="1" xfId="0" applyNumberFormat="1" applyFont="1" applyFill="1" applyBorder="1"/>
    <xf numFmtId="3" fontId="11" fillId="8" borderId="1" xfId="0" applyNumberFormat="1" applyFont="1" applyFill="1" applyBorder="1"/>
    <xf numFmtId="4" fontId="7" fillId="5" borderId="1" xfId="0" applyNumberFormat="1" applyFont="1" applyFill="1" applyBorder="1"/>
    <xf numFmtId="4" fontId="22" fillId="5" borderId="1" xfId="0" applyNumberFormat="1" applyFont="1" applyFill="1" applyBorder="1"/>
    <xf numFmtId="4" fontId="1" fillId="5" borderId="1" xfId="0" applyNumberFormat="1" applyFont="1" applyFill="1" applyBorder="1"/>
    <xf numFmtId="0" fontId="0" fillId="13" borderId="57" xfId="0" applyFill="1" applyBorder="1"/>
    <xf numFmtId="3" fontId="1" fillId="13" borderId="41" xfId="0" applyNumberFormat="1" applyFont="1" applyFill="1" applyBorder="1"/>
    <xf numFmtId="3" fontId="1" fillId="13" borderId="48" xfId="0" applyNumberFormat="1" applyFont="1" applyFill="1" applyBorder="1"/>
    <xf numFmtId="0" fontId="0" fillId="13" borderId="47" xfId="0" applyFill="1" applyBorder="1"/>
    <xf numFmtId="170" fontId="11" fillId="12" borderId="1" xfId="0" applyNumberFormat="1" applyFont="1" applyFill="1" applyBorder="1"/>
    <xf numFmtId="10" fontId="11" fillId="12" borderId="1" xfId="0" applyNumberFormat="1" applyFont="1" applyFill="1" applyBorder="1"/>
    <xf numFmtId="10" fontId="7" fillId="11" borderId="1" xfId="0" applyNumberFormat="1" applyFont="1" applyFill="1" applyBorder="1"/>
    <xf numFmtId="172" fontId="10" fillId="8" borderId="1" xfId="0" applyNumberFormat="1" applyFont="1" applyFill="1" applyBorder="1"/>
    <xf numFmtId="170" fontId="7" fillId="5" borderId="1" xfId="0" applyNumberFormat="1" applyFont="1" applyFill="1" applyBorder="1"/>
    <xf numFmtId="3" fontId="1" fillId="6" borderId="1" xfId="0" applyNumberFormat="1" applyFont="1" applyFill="1" applyBorder="1" applyAlignment="1">
      <alignment horizontal="left"/>
    </xf>
    <xf numFmtId="3" fontId="11" fillId="3" borderId="1" xfId="0" applyNumberFormat="1" applyFont="1" applyFill="1" applyBorder="1"/>
    <xf numFmtId="166" fontId="1" fillId="6" borderId="1" xfId="0" applyNumberFormat="1" applyFont="1" applyFill="1" applyBorder="1"/>
    <xf numFmtId="0" fontId="6" fillId="6" borderId="1" xfId="0" applyFont="1" applyFill="1" applyBorder="1" applyAlignment="1">
      <alignment horizontal="right"/>
    </xf>
    <xf numFmtId="164" fontId="6" fillId="5" borderId="1" xfId="0" applyNumberFormat="1" applyFont="1" applyFill="1" applyBorder="1"/>
    <xf numFmtId="0" fontId="5" fillId="6" borderId="1" xfId="0" quotePrefix="1" applyFont="1" applyFill="1" applyBorder="1"/>
    <xf numFmtId="3" fontId="5" fillId="5" borderId="1" xfId="0" quotePrefix="1" applyNumberFormat="1" applyFont="1" applyFill="1" applyBorder="1"/>
    <xf numFmtId="3" fontId="5" fillId="8" borderId="1" xfId="0" applyNumberFormat="1" applyFont="1" applyFill="1" applyBorder="1"/>
    <xf numFmtId="10" fontId="1" fillId="5" borderId="1" xfId="0" applyNumberFormat="1" applyFont="1" applyFill="1" applyBorder="1"/>
    <xf numFmtId="2" fontId="7" fillId="5" borderId="1" xfId="0" applyNumberFormat="1" applyFont="1" applyFill="1" applyBorder="1" applyAlignment="1">
      <alignment horizontal="right"/>
    </xf>
    <xf numFmtId="175" fontId="1" fillId="5" borderId="1" xfId="0" applyNumberFormat="1" applyFont="1" applyFill="1" applyBorder="1"/>
    <xf numFmtId="3" fontId="11" fillId="5" borderId="1" xfId="0" applyNumberFormat="1" applyFont="1" applyFill="1" applyBorder="1"/>
    <xf numFmtId="0" fontId="5" fillId="13" borderId="1" xfId="0" applyFont="1" applyFill="1" applyBorder="1" applyAlignment="1">
      <alignment horizontal="right"/>
    </xf>
    <xf numFmtId="164" fontId="31" fillId="15" borderId="1" xfId="1" applyNumberFormat="1" applyFont="1" applyFill="1" applyBorder="1" applyAlignment="1">
      <alignment horizontal="right"/>
    </xf>
    <xf numFmtId="3" fontId="11" fillId="11" borderId="1" xfId="0" applyNumberFormat="1" applyFont="1" applyFill="1" applyBorder="1"/>
    <xf numFmtId="176" fontId="11" fillId="12" borderId="1" xfId="0" applyNumberFormat="1" applyFont="1" applyFill="1" applyBorder="1"/>
    <xf numFmtId="164" fontId="8" fillId="13" borderId="3" xfId="0" applyNumberFormat="1" applyFont="1" applyFill="1" applyBorder="1"/>
    <xf numFmtId="175" fontId="7" fillId="5" borderId="1" xfId="0" applyNumberFormat="1" applyFont="1" applyFill="1" applyBorder="1"/>
    <xf numFmtId="174" fontId="32" fillId="13" borderId="4" xfId="0" applyNumberFormat="1" applyFont="1" applyFill="1" applyBorder="1"/>
    <xf numFmtId="3" fontId="8" fillId="12" borderId="1" xfId="0" applyNumberFormat="1" applyFont="1" applyFill="1" applyBorder="1"/>
    <xf numFmtId="3" fontId="5" fillId="6" borderId="1" xfId="0" quotePrefix="1" applyNumberFormat="1" applyFont="1" applyFill="1" applyBorder="1"/>
    <xf numFmtId="0" fontId="21" fillId="13" borderId="0" xfId="0" applyFont="1" applyFill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right"/>
    </xf>
    <xf numFmtId="3" fontId="10" fillId="12" borderId="1" xfId="1" applyNumberFormat="1" applyFont="1" applyFill="1" applyBorder="1"/>
    <xf numFmtId="3" fontId="7" fillId="5" borderId="1" xfId="0" quotePrefix="1" applyNumberFormat="1" applyFont="1" applyFill="1" applyBorder="1" applyAlignment="1">
      <alignment horizontal="right"/>
    </xf>
    <xf numFmtId="0" fontId="15" fillId="13" borderId="40" xfId="0" applyFont="1" applyFill="1" applyBorder="1" applyAlignment="1">
      <alignment vertical="top"/>
    </xf>
    <xf numFmtId="3" fontId="11" fillId="3" borderId="1" xfId="0" applyNumberFormat="1" applyFont="1" applyFill="1" applyBorder="1" applyAlignment="1">
      <alignment horizontal="right"/>
    </xf>
    <xf numFmtId="0" fontId="15" fillId="13" borderId="0" xfId="0" applyFont="1" applyFill="1" applyAlignment="1">
      <alignment vertical="top"/>
    </xf>
    <xf numFmtId="0" fontId="15" fillId="13" borderId="58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/>
    </xf>
    <xf numFmtId="0" fontId="5" fillId="2" borderId="1" xfId="0" applyFont="1" applyFill="1" applyBorder="1"/>
    <xf numFmtId="3" fontId="5" fillId="2" borderId="1" xfId="0" applyNumberFormat="1" applyFont="1" applyFill="1" applyBorder="1"/>
    <xf numFmtId="0" fontId="0" fillId="17" borderId="1" xfId="0" applyFill="1" applyBorder="1"/>
    <xf numFmtId="0" fontId="5" fillId="6" borderId="1" xfId="0" applyFont="1" applyFill="1" applyBorder="1"/>
    <xf numFmtId="3" fontId="5" fillId="5" borderId="2" xfId="0" applyNumberFormat="1" applyFont="1" applyFill="1" applyBorder="1"/>
    <xf numFmtId="3" fontId="5" fillId="5" borderId="3" xfId="0" applyNumberFormat="1" applyFont="1" applyFill="1" applyBorder="1"/>
    <xf numFmtId="3" fontId="0" fillId="5" borderId="4" xfId="0" applyNumberFormat="1" applyFill="1" applyBorder="1"/>
    <xf numFmtId="0" fontId="33" fillId="13" borderId="60" xfId="0" applyFont="1" applyFill="1" applyBorder="1" applyAlignment="1">
      <alignment horizontal="right"/>
    </xf>
    <xf numFmtId="3" fontId="6" fillId="0" borderId="0" xfId="0" applyNumberFormat="1" applyFont="1"/>
    <xf numFmtId="0" fontId="0" fillId="7" borderId="1" xfId="0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right"/>
    </xf>
    <xf numFmtId="172" fontId="11" fillId="8" borderId="1" xfId="0" applyNumberFormat="1" applyFont="1" applyFill="1" applyBorder="1"/>
    <xf numFmtId="3" fontId="1" fillId="4" borderId="1" xfId="0" applyNumberFormat="1" applyFont="1" applyFill="1" applyBorder="1" applyAlignment="1">
      <alignment horizontal="right"/>
    </xf>
    <xf numFmtId="3" fontId="7" fillId="4" borderId="1" xfId="0" quotePrefix="1" applyNumberFormat="1" applyFont="1" applyFill="1" applyBorder="1" applyAlignment="1">
      <alignment horizontal="right"/>
    </xf>
    <xf numFmtId="171" fontId="10" fillId="4" borderId="1" xfId="0" applyNumberFormat="1" applyFont="1" applyFill="1" applyBorder="1"/>
    <xf numFmtId="0" fontId="0" fillId="13" borderId="61" xfId="0" applyFill="1" applyBorder="1"/>
    <xf numFmtId="0" fontId="0" fillId="13" borderId="62" xfId="0" applyFill="1" applyBorder="1"/>
    <xf numFmtId="177" fontId="6" fillId="5" borderId="1" xfId="0" applyNumberFormat="1" applyFont="1" applyFill="1" applyBorder="1"/>
    <xf numFmtId="0" fontId="0" fillId="9" borderId="1" xfId="0" applyFill="1" applyBorder="1" applyAlignment="1">
      <alignment horizontal="right"/>
    </xf>
    <xf numFmtId="178" fontId="7" fillId="14" borderId="1" xfId="0" applyNumberFormat="1" applyFont="1" applyFill="1" applyBorder="1"/>
    <xf numFmtId="0" fontId="0" fillId="13" borderId="63" xfId="0" applyFill="1" applyBorder="1"/>
    <xf numFmtId="0" fontId="35" fillId="6" borderId="1" xfId="0" applyFont="1" applyFill="1" applyBorder="1" applyAlignment="1">
      <alignment horizontal="right"/>
    </xf>
    <xf numFmtId="3" fontId="35" fillId="19" borderId="1" xfId="0" applyNumberFormat="1" applyFont="1" applyFill="1" applyBorder="1"/>
    <xf numFmtId="0" fontId="1" fillId="5" borderId="1" xfId="0" quotePrefix="1" applyFont="1" applyFill="1" applyBorder="1"/>
    <xf numFmtId="3" fontId="35" fillId="20" borderId="1" xfId="0" applyNumberFormat="1" applyFont="1" applyFill="1" applyBorder="1"/>
    <xf numFmtId="3" fontId="34" fillId="20" borderId="1" xfId="0" applyNumberFormat="1" applyFont="1" applyFill="1" applyBorder="1"/>
    <xf numFmtId="3" fontId="36" fillId="14" borderId="1" xfId="0" applyNumberFormat="1" applyFont="1" applyFill="1" applyBorder="1"/>
    <xf numFmtId="3" fontId="35" fillId="21" borderId="1" xfId="0" applyNumberFormat="1" applyFont="1" applyFill="1" applyBorder="1"/>
    <xf numFmtId="0" fontId="0" fillId="13" borderId="65" xfId="0" applyFill="1" applyBorder="1"/>
    <xf numFmtId="0" fontId="1" fillId="13" borderId="38" xfId="0" applyFont="1" applyFill="1" applyBorder="1"/>
    <xf numFmtId="3" fontId="36" fillId="13" borderId="1" xfId="0" applyNumberFormat="1" applyFont="1" applyFill="1" applyBorder="1"/>
    <xf numFmtId="3" fontId="0" fillId="13" borderId="1" xfId="0" applyNumberFormat="1" applyFill="1" applyBorder="1"/>
    <xf numFmtId="0" fontId="1" fillId="13" borderId="37" xfId="0" applyFont="1" applyFill="1" applyBorder="1"/>
    <xf numFmtId="9" fontId="9" fillId="3" borderId="1" xfId="1" applyFont="1" applyFill="1" applyBorder="1" applyAlignment="1">
      <alignment horizontal="left"/>
    </xf>
    <xf numFmtId="0" fontId="1" fillId="14" borderId="1" xfId="0" applyFont="1" applyFill="1" applyBorder="1"/>
    <xf numFmtId="0" fontId="0" fillId="13" borderId="0" xfId="0" applyFill="1" applyBorder="1" applyAlignment="1">
      <alignment horizontal="right"/>
    </xf>
    <xf numFmtId="3" fontId="0" fillId="13" borderId="2" xfId="0" applyNumberFormat="1" applyFill="1" applyBorder="1"/>
    <xf numFmtId="0" fontId="5" fillId="13" borderId="0" xfId="0" applyFont="1" applyFill="1" applyAlignment="1">
      <alignment horizontal="right"/>
    </xf>
    <xf numFmtId="3" fontId="5" fillId="17" borderId="1" xfId="0" applyNumberFormat="1" applyFont="1" applyFill="1" applyBorder="1"/>
    <xf numFmtId="168" fontId="5" fillId="14" borderId="6" xfId="0" applyNumberFormat="1" applyFont="1" applyFill="1" applyBorder="1"/>
    <xf numFmtId="168" fontId="5" fillId="9" borderId="6" xfId="0" applyNumberFormat="1" applyFont="1" applyFill="1" applyBorder="1"/>
    <xf numFmtId="168" fontId="6" fillId="5" borderId="4" xfId="0" applyNumberFormat="1" applyFont="1" applyFill="1" applyBorder="1"/>
    <xf numFmtId="0" fontId="5" fillId="7" borderId="1" xfId="0" applyFont="1" applyFill="1" applyBorder="1"/>
    <xf numFmtId="168" fontId="5" fillId="6" borderId="1" xfId="0" applyNumberFormat="1" applyFont="1" applyFill="1" applyBorder="1"/>
    <xf numFmtId="168" fontId="6" fillId="6" borderId="1" xfId="0" applyNumberFormat="1" applyFont="1" applyFill="1" applyBorder="1"/>
    <xf numFmtId="3" fontId="5" fillId="14" borderId="6" xfId="0" applyNumberFormat="1" applyFont="1" applyFill="1" applyBorder="1"/>
    <xf numFmtId="164" fontId="37" fillId="2" borderId="1" xfId="1" applyNumberFormat="1" applyFont="1" applyFill="1" applyBorder="1"/>
    <xf numFmtId="3" fontId="5" fillId="9" borderId="6" xfId="0" applyNumberFormat="1" applyFont="1" applyFill="1" applyBorder="1"/>
    <xf numFmtId="4" fontId="6" fillId="5" borderId="1" xfId="0" applyNumberFormat="1" applyFont="1" applyFill="1" applyBorder="1"/>
    <xf numFmtId="0" fontId="0" fillId="13" borderId="13" xfId="0" applyFont="1" applyFill="1" applyBorder="1"/>
    <xf numFmtId="0" fontId="0" fillId="13" borderId="0" xfId="0" applyFont="1" applyFill="1"/>
    <xf numFmtId="0" fontId="0" fillId="13" borderId="14" xfId="0" applyFont="1" applyFill="1" applyBorder="1"/>
    <xf numFmtId="0" fontId="0" fillId="0" borderId="0" xfId="0" applyFont="1"/>
    <xf numFmtId="3" fontId="38" fillId="6" borderId="1" xfId="0" quotePrefix="1" applyNumberFormat="1" applyFont="1" applyFill="1" applyBorder="1"/>
    <xf numFmtId="3" fontId="8" fillId="12" borderId="1" xfId="1" applyNumberFormat="1" applyFont="1" applyFill="1" applyBorder="1"/>
    <xf numFmtId="9" fontId="8" fillId="12" borderId="1" xfId="1" applyFont="1" applyFill="1" applyBorder="1"/>
    <xf numFmtId="164" fontId="7" fillId="13" borderId="0" xfId="0" applyNumberFormat="1" applyFont="1" applyFill="1" applyAlignment="1">
      <alignment horizontal="left"/>
    </xf>
    <xf numFmtId="3" fontId="38" fillId="6" borderId="1" xfId="0" applyNumberFormat="1" applyFont="1" applyFill="1" applyBorder="1"/>
    <xf numFmtId="3" fontId="6" fillId="14" borderId="1" xfId="0" quotePrefix="1" applyNumberFormat="1" applyFont="1" applyFill="1" applyBorder="1" applyAlignment="1">
      <alignment horizontal="right"/>
    </xf>
    <xf numFmtId="167" fontId="6" fillId="6" borderId="1" xfId="0" applyNumberFormat="1" applyFont="1" applyFill="1" applyBorder="1"/>
    <xf numFmtId="0" fontId="5" fillId="6" borderId="1" xfId="0" applyFont="1" applyFill="1" applyBorder="1" applyAlignment="1">
      <alignment horizontal="right"/>
    </xf>
    <xf numFmtId="3" fontId="8" fillId="5" borderId="1" xfId="0" applyNumberFormat="1" applyFont="1" applyFill="1" applyBorder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13" borderId="39" xfId="0" applyFont="1" applyFill="1" applyBorder="1"/>
    <xf numFmtId="0" fontId="4" fillId="13" borderId="26" xfId="0" applyFont="1" applyFill="1" applyBorder="1"/>
    <xf numFmtId="0" fontId="38" fillId="13" borderId="45" xfId="0" applyFont="1" applyFill="1" applyBorder="1" applyAlignment="1">
      <alignment horizontal="left" wrapText="1"/>
    </xf>
    <xf numFmtId="3" fontId="39" fillId="3" borderId="1" xfId="0" applyNumberFormat="1" applyFont="1" applyFill="1" applyBorder="1" applyAlignment="1">
      <alignment horizontal="right"/>
    </xf>
    <xf numFmtId="3" fontId="39" fillId="3" borderId="6" xfId="0" applyNumberFormat="1" applyFont="1" applyFill="1" applyBorder="1" applyAlignment="1">
      <alignment horizontal="right"/>
    </xf>
    <xf numFmtId="3" fontId="40" fillId="14" borderId="1" xfId="0" applyNumberFormat="1" applyFont="1" applyFill="1" applyBorder="1"/>
    <xf numFmtId="179" fontId="0" fillId="0" borderId="0" xfId="0" applyNumberFormat="1"/>
    <xf numFmtId="0" fontId="15" fillId="13" borderId="38" xfId="0" applyFont="1" applyFill="1" applyBorder="1"/>
    <xf numFmtId="0" fontId="15" fillId="13" borderId="39" xfId="0" applyFont="1" applyFill="1" applyBorder="1"/>
    <xf numFmtId="0" fontId="0" fillId="7" borderId="1" xfId="0" applyFill="1" applyBorder="1" applyAlignment="1">
      <alignment horizontal="center"/>
    </xf>
    <xf numFmtId="0" fontId="0" fillId="0" borderId="4" xfId="0" applyBorder="1"/>
    <xf numFmtId="0" fontId="0" fillId="9" borderId="1" xfId="0" applyFill="1" applyBorder="1" applyAlignment="1">
      <alignment horizontal="center"/>
    </xf>
    <xf numFmtId="0" fontId="0" fillId="0" borderId="1" xfId="0" applyBorder="1"/>
    <xf numFmtId="0" fontId="15" fillId="13" borderId="45" xfId="0" applyFont="1" applyFill="1" applyBorder="1" applyAlignment="1">
      <alignment horizontal="left"/>
    </xf>
    <xf numFmtId="0" fontId="15" fillId="13" borderId="47" xfId="0" applyFont="1" applyFill="1" applyBorder="1" applyAlignment="1">
      <alignment horizontal="left"/>
    </xf>
    <xf numFmtId="0" fontId="15" fillId="13" borderId="40" xfId="0" applyFont="1" applyFill="1" applyBorder="1"/>
    <xf numFmtId="0" fontId="15" fillId="13" borderId="53" xfId="0" applyFont="1" applyFill="1" applyBorder="1"/>
    <xf numFmtId="0" fontId="35" fillId="6" borderId="2" xfId="0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35" fillId="6" borderId="66" xfId="0" applyFont="1" applyFill="1" applyBorder="1" applyAlignment="1">
      <alignment horizontal="center"/>
    </xf>
    <xf numFmtId="0" fontId="35" fillId="6" borderId="67" xfId="0" applyFont="1" applyFill="1" applyBorder="1" applyAlignment="1">
      <alignment horizontal="center"/>
    </xf>
    <xf numFmtId="173" fontId="1" fillId="16" borderId="34" xfId="0" applyNumberFormat="1" applyFont="1" applyFill="1" applyBorder="1" applyAlignment="1">
      <alignment horizontal="center" vertical="center"/>
    </xf>
    <xf numFmtId="173" fontId="1" fillId="16" borderId="41" xfId="0" applyNumberFormat="1" applyFont="1" applyFill="1" applyBorder="1" applyAlignment="1">
      <alignment horizontal="center" vertical="center"/>
    </xf>
    <xf numFmtId="0" fontId="15" fillId="13" borderId="40" xfId="0" applyFont="1" applyFill="1" applyBorder="1" applyAlignment="1">
      <alignment horizontal="left"/>
    </xf>
    <xf numFmtId="0" fontId="15" fillId="13" borderId="64" xfId="0" applyFont="1" applyFill="1" applyBorder="1" applyAlignment="1">
      <alignment horizontal="left"/>
    </xf>
    <xf numFmtId="0" fontId="35" fillId="6" borderId="3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left"/>
    </xf>
    <xf numFmtId="0" fontId="15" fillId="13" borderId="56" xfId="0" applyFont="1" applyFill="1" applyBorder="1" applyAlignment="1">
      <alignment horizontal="left"/>
    </xf>
    <xf numFmtId="0" fontId="15" fillId="13" borderId="59" xfId="0" applyFont="1" applyFill="1" applyBorder="1" applyAlignment="1">
      <alignment horizontal="left"/>
    </xf>
    <xf numFmtId="0" fontId="15" fillId="13" borderId="53" xfId="0" applyFont="1" applyFill="1" applyBorder="1" applyAlignment="1">
      <alignment horizontal="left"/>
    </xf>
    <xf numFmtId="0" fontId="15" fillId="13" borderId="0" xfId="0" applyFont="1" applyFill="1" applyAlignment="1">
      <alignment horizontal="left"/>
    </xf>
    <xf numFmtId="0" fontId="0" fillId="18" borderId="1" xfId="0" applyFill="1" applyBorder="1" applyAlignment="1">
      <alignment horizontal="center"/>
    </xf>
    <xf numFmtId="0" fontId="38" fillId="13" borderId="45" xfId="0" applyFont="1" applyFill="1" applyBorder="1" applyAlignment="1">
      <alignment horizontal="left" wrapText="1"/>
    </xf>
    <xf numFmtId="0" fontId="38" fillId="13" borderId="46" xfId="0" applyFont="1" applyFill="1" applyBorder="1" applyAlignment="1">
      <alignment horizontal="left" wrapText="1"/>
    </xf>
    <xf numFmtId="0" fontId="15" fillId="13" borderId="45" xfId="0" applyFont="1" applyFill="1" applyBorder="1" applyAlignment="1">
      <alignment horizontal="left" wrapText="1"/>
    </xf>
    <xf numFmtId="0" fontId="15" fillId="13" borderId="46" xfId="0" applyFont="1" applyFill="1" applyBorder="1" applyAlignment="1">
      <alignment horizontal="left" wrapText="1"/>
    </xf>
    <xf numFmtId="0" fontId="15" fillId="13" borderId="46" xfId="0" applyFont="1" applyFill="1" applyBorder="1" applyAlignment="1">
      <alignment horizontal="left"/>
    </xf>
    <xf numFmtId="169" fontId="1" fillId="7" borderId="1" xfId="0" applyNumberFormat="1" applyFont="1" applyFill="1" applyBorder="1" applyAlignment="1">
      <alignment horizontal="center"/>
    </xf>
    <xf numFmtId="0" fontId="15" fillId="13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169" fontId="1" fillId="7" borderId="2" xfId="0" applyNumberFormat="1" applyFont="1" applyFill="1" applyBorder="1" applyAlignment="1">
      <alignment horizontal="center"/>
    </xf>
    <xf numFmtId="169" fontId="1" fillId="7" borderId="3" xfId="0" applyNumberFormat="1" applyFont="1" applyFill="1" applyBorder="1" applyAlignment="1">
      <alignment horizontal="center"/>
    </xf>
    <xf numFmtId="169" fontId="1" fillId="7" borderId="4" xfId="0" applyNumberFormat="1" applyFont="1" applyFill="1" applyBorder="1" applyAlignment="1">
      <alignment horizontal="center"/>
    </xf>
    <xf numFmtId="0" fontId="15" fillId="13" borderId="7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15" fillId="13" borderId="45" xfId="0" applyFont="1" applyFill="1" applyBorder="1" applyAlignment="1">
      <alignment horizontal="left" vertical="top"/>
    </xf>
    <xf numFmtId="0" fontId="15" fillId="13" borderId="47" xfId="0" applyFont="1" applyFill="1" applyBorder="1" applyAlignment="1">
      <alignment horizontal="left" vertical="top"/>
    </xf>
    <xf numFmtId="0" fontId="15" fillId="13" borderId="45" xfId="0" quotePrefix="1" applyFont="1" applyFill="1" applyBorder="1" applyAlignment="1">
      <alignment horizontal="left"/>
    </xf>
  </cellXfs>
  <cellStyles count="5">
    <cellStyle name="Prozent" xfId="1" builtinId="5"/>
    <cellStyle name="Prozent 2" xfId="2" xr:uid="{00000000-0005-0000-0000-000002000000}"/>
    <cellStyle name="Prozent 3" xfId="3" xr:uid="{00000000-0005-0000-0000-000003000000}"/>
    <cellStyle name="Prozent 4" xfId="4" xr:uid="{E3134AC7-98A2-4FE8-8BAA-CC9489F4FFC3}"/>
    <cellStyle name="Standard" xfId="0" builtinId="0"/>
  </cellStyles>
  <dxfs count="26"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34998626667073579"/>
      </font>
      <fill>
        <patternFill>
          <bgColor theme="5" tint="0.79998168889431442"/>
        </patternFill>
      </fill>
    </dxf>
    <dxf>
      <font>
        <color theme="0" tint="-0.34998626667073579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34998626667073579"/>
      </font>
      <fill>
        <patternFill>
          <bgColor theme="5" tint="0.79998168889431442"/>
        </patternFill>
      </fill>
    </dxf>
    <dxf>
      <font>
        <color theme="0" tint="-0.34998626667073579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34998626667073579"/>
      </font>
      <fill>
        <patternFill>
          <bgColor theme="5" tint="0.79998168889431442"/>
        </patternFill>
      </fill>
    </dxf>
    <dxf>
      <font>
        <color theme="0" tint="-0.3499862666707357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2"/>
  <sheetViews>
    <sheetView showGridLines="0" showRowColHeaders="0" tabSelected="1" zoomScaleNormal="100" workbookViewId="0">
      <selection activeCell="B4" sqref="B4"/>
    </sheetView>
  </sheetViews>
  <sheetFormatPr baseColWidth="10" defaultRowHeight="14.3" x14ac:dyDescent="0.25"/>
  <cols>
    <col min="1" max="1" width="1.375" customWidth="1"/>
    <col min="2" max="2" width="37.75" customWidth="1"/>
    <col min="3" max="3" width="10.875" style="76" bestFit="1" customWidth="1"/>
    <col min="4" max="4" width="11.125" customWidth="1"/>
    <col min="5" max="5" width="11.125" style="77" customWidth="1"/>
    <col min="6" max="6" width="1.375" customWidth="1"/>
    <col min="7" max="7" width="37.75" customWidth="1"/>
    <col min="8" max="8" width="10.875" style="76" customWidth="1"/>
    <col min="9" max="9" width="11.125" customWidth="1"/>
    <col min="10" max="10" width="11.125" style="77" customWidth="1"/>
    <col min="11" max="11" width="1.375" customWidth="1"/>
    <col min="12" max="12" width="37.75" customWidth="1"/>
    <col min="13" max="13" width="10.875" style="76" bestFit="1" customWidth="1"/>
    <col min="14" max="14" width="11.125" customWidth="1"/>
    <col min="15" max="15" width="11.125" style="77" customWidth="1"/>
    <col min="16" max="16" width="1.375" customWidth="1"/>
    <col min="17" max="17" width="10" customWidth="1"/>
    <col min="18" max="19" width="11.125" customWidth="1"/>
    <col min="20" max="20" width="1.375" customWidth="1"/>
    <col min="21" max="21" width="35.5" customWidth="1"/>
    <col min="22" max="22" width="10" style="76" customWidth="1"/>
    <col min="23" max="23" width="11.125" customWidth="1"/>
    <col min="24" max="24" width="11.125" style="77" customWidth="1"/>
    <col min="25" max="25" width="1.375" customWidth="1"/>
    <col min="26" max="26" width="35.5" customWidth="1"/>
    <col min="27" max="27" width="10" style="76" customWidth="1"/>
    <col min="28" max="28" width="11.125" customWidth="1"/>
    <col min="29" max="29" width="11.125" style="77" customWidth="1"/>
    <col min="30" max="30" width="1.375" customWidth="1"/>
  </cols>
  <sheetData>
    <row r="1" spans="1:29" ht="7.15" customHeight="1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5"/>
      <c r="P1" s="36"/>
      <c r="V1"/>
      <c r="X1"/>
      <c r="AA1"/>
      <c r="AC1"/>
    </row>
    <row r="2" spans="1:29" ht="23.45" customHeight="1" x14ac:dyDescent="0.4">
      <c r="A2" s="37"/>
      <c r="B2" s="38" t="str">
        <f>"Aktuelle Wirtschaftsdaten für Periode "&amp;TEXT(O2+1,"0")</f>
        <v>Aktuelle Wirtschaftsdaten für Periode 0</v>
      </c>
      <c r="C2" s="39"/>
      <c r="D2" s="40"/>
      <c r="E2" s="41"/>
      <c r="F2" s="41"/>
      <c r="G2" s="41"/>
      <c r="H2" s="41"/>
      <c r="I2" s="41"/>
      <c r="J2" s="41"/>
      <c r="K2" s="41"/>
      <c r="L2" s="41"/>
      <c r="M2" s="41"/>
      <c r="N2" s="43"/>
      <c r="O2" s="206">
        <v>-1</v>
      </c>
      <c r="P2" s="44"/>
      <c r="V2"/>
      <c r="X2"/>
      <c r="AA2"/>
      <c r="AC2"/>
    </row>
    <row r="3" spans="1:29" ht="5.95" customHeight="1" x14ac:dyDescent="0.25">
      <c r="A3" s="37"/>
      <c r="B3" s="42"/>
      <c r="C3" s="42"/>
      <c r="D3" s="42"/>
      <c r="E3" s="42"/>
      <c r="F3" s="41"/>
      <c r="G3" s="41"/>
      <c r="H3" s="41"/>
      <c r="I3" s="41"/>
      <c r="J3" s="41"/>
      <c r="K3" s="41"/>
      <c r="L3" s="42"/>
      <c r="M3" s="42"/>
      <c r="N3" s="41"/>
      <c r="O3" s="41"/>
      <c r="P3" s="45"/>
      <c r="V3"/>
      <c r="X3"/>
      <c r="AA3"/>
      <c r="AC3"/>
    </row>
    <row r="4" spans="1:29" x14ac:dyDescent="0.25">
      <c r="A4" s="37"/>
      <c r="B4" s="46" t="s">
        <v>335</v>
      </c>
      <c r="C4" s="47"/>
      <c r="D4" s="48"/>
      <c r="E4" s="49"/>
      <c r="F4" s="41"/>
      <c r="G4" s="46" t="s">
        <v>336</v>
      </c>
      <c r="H4" s="47"/>
      <c r="I4" s="48"/>
      <c r="J4" s="49"/>
      <c r="K4" s="41"/>
      <c r="L4" s="46" t="s">
        <v>334</v>
      </c>
      <c r="M4" s="47"/>
      <c r="N4" s="48"/>
      <c r="O4" s="49"/>
      <c r="P4" s="45"/>
      <c r="V4"/>
      <c r="X4"/>
      <c r="AA4"/>
      <c r="AC4"/>
    </row>
    <row r="5" spans="1:29" x14ac:dyDescent="0.25">
      <c r="A5" s="37"/>
      <c r="B5" s="42" t="s">
        <v>391</v>
      </c>
      <c r="C5" s="50"/>
      <c r="D5" s="51">
        <f>$O$2+1</f>
        <v>0</v>
      </c>
      <c r="E5" s="16" t="s">
        <v>31</v>
      </c>
      <c r="F5" s="41"/>
      <c r="G5" s="42" t="s">
        <v>316</v>
      </c>
      <c r="H5" s="50"/>
      <c r="I5" s="51">
        <f>$O$2+1</f>
        <v>0</v>
      </c>
      <c r="J5" s="16" t="s">
        <v>31</v>
      </c>
      <c r="K5" s="41"/>
      <c r="L5" s="42" t="s">
        <v>369</v>
      </c>
      <c r="M5" s="42"/>
      <c r="N5" s="51">
        <f>$O$2+1</f>
        <v>0</v>
      </c>
      <c r="O5" s="16" t="s">
        <v>31</v>
      </c>
      <c r="P5" s="45"/>
      <c r="V5"/>
      <c r="X5"/>
      <c r="AA5"/>
      <c r="AC5"/>
    </row>
    <row r="6" spans="1:29" x14ac:dyDescent="0.25">
      <c r="A6" s="37"/>
      <c r="B6" s="52" t="s">
        <v>77</v>
      </c>
      <c r="C6" s="53" t="s">
        <v>52</v>
      </c>
      <c r="D6" s="243">
        <v>59</v>
      </c>
      <c r="E6" s="334">
        <v>59</v>
      </c>
      <c r="F6" s="41"/>
      <c r="G6" s="63" t="s">
        <v>73</v>
      </c>
      <c r="H6" s="53" t="s">
        <v>74</v>
      </c>
      <c r="I6" s="56">
        <v>39000</v>
      </c>
      <c r="J6" s="57">
        <v>39000</v>
      </c>
      <c r="K6" s="41"/>
      <c r="L6" s="52" t="s">
        <v>87</v>
      </c>
      <c r="M6" s="53" t="s">
        <v>34</v>
      </c>
      <c r="N6" s="54">
        <v>10000</v>
      </c>
      <c r="O6" s="55">
        <v>10000</v>
      </c>
      <c r="P6" s="45"/>
      <c r="V6"/>
      <c r="X6"/>
      <c r="AA6"/>
      <c r="AC6"/>
    </row>
    <row r="7" spans="1:29" x14ac:dyDescent="0.25">
      <c r="A7" s="37"/>
      <c r="B7" s="255" t="s">
        <v>462</v>
      </c>
      <c r="C7" s="53" t="s">
        <v>52</v>
      </c>
      <c r="D7" s="243">
        <v>47</v>
      </c>
      <c r="E7" s="334">
        <v>47</v>
      </c>
      <c r="F7" s="41"/>
      <c r="G7" s="63" t="s">
        <v>75</v>
      </c>
      <c r="H7" s="53" t="s">
        <v>74</v>
      </c>
      <c r="I7" s="56">
        <v>50000</v>
      </c>
      <c r="J7" s="57">
        <v>50000</v>
      </c>
      <c r="K7" s="41"/>
      <c r="L7" s="52" t="s">
        <v>121</v>
      </c>
      <c r="M7" s="53" t="s">
        <v>122</v>
      </c>
      <c r="N7" s="54">
        <v>10</v>
      </c>
      <c r="O7" s="55">
        <v>10</v>
      </c>
      <c r="P7" s="45"/>
      <c r="V7"/>
      <c r="X7"/>
      <c r="AA7"/>
      <c r="AC7"/>
    </row>
    <row r="8" spans="1:29" x14ac:dyDescent="0.25">
      <c r="A8" s="37"/>
      <c r="B8" s="255" t="s">
        <v>325</v>
      </c>
      <c r="C8" s="53" t="s">
        <v>52</v>
      </c>
      <c r="D8" s="243">
        <v>44</v>
      </c>
      <c r="E8" s="334">
        <v>44</v>
      </c>
      <c r="F8" s="41"/>
      <c r="G8" s="63" t="s">
        <v>76</v>
      </c>
      <c r="H8" s="53" t="s">
        <v>74</v>
      </c>
      <c r="I8" s="56">
        <v>36000</v>
      </c>
      <c r="J8" s="57">
        <v>36000</v>
      </c>
      <c r="K8" s="41"/>
      <c r="L8" s="52" t="s">
        <v>397</v>
      </c>
      <c r="M8" s="53" t="s">
        <v>34</v>
      </c>
      <c r="N8" s="54">
        <v>500</v>
      </c>
      <c r="O8" s="55">
        <v>500</v>
      </c>
      <c r="P8" s="45"/>
      <c r="V8"/>
      <c r="X8"/>
      <c r="AA8"/>
      <c r="AC8"/>
    </row>
    <row r="9" spans="1:29" x14ac:dyDescent="0.25">
      <c r="A9" s="37"/>
      <c r="B9" s="255" t="s">
        <v>326</v>
      </c>
      <c r="C9" s="53" t="s">
        <v>52</v>
      </c>
      <c r="D9" s="243">
        <v>42</v>
      </c>
      <c r="E9" s="334">
        <v>42</v>
      </c>
      <c r="F9" s="41"/>
      <c r="G9" s="42" t="s">
        <v>78</v>
      </c>
      <c r="H9" s="50"/>
      <c r="I9" s="51">
        <f>$O$2+1</f>
        <v>0</v>
      </c>
      <c r="J9" s="16" t="s">
        <v>31</v>
      </c>
      <c r="K9" s="41"/>
      <c r="L9" s="52" t="s">
        <v>89</v>
      </c>
      <c r="M9" s="53" t="s">
        <v>34</v>
      </c>
      <c r="N9" s="54">
        <v>300</v>
      </c>
      <c r="O9" s="55">
        <v>300</v>
      </c>
      <c r="P9" s="45"/>
      <c r="V9"/>
      <c r="X9"/>
      <c r="AA9"/>
      <c r="AC9"/>
    </row>
    <row r="10" spans="1:29" x14ac:dyDescent="0.25">
      <c r="A10" s="37"/>
      <c r="B10" s="255" t="s">
        <v>321</v>
      </c>
      <c r="C10" s="53" t="s">
        <v>52</v>
      </c>
      <c r="D10" s="243">
        <v>41</v>
      </c>
      <c r="E10" s="334">
        <v>41</v>
      </c>
      <c r="F10" s="41"/>
      <c r="G10" s="63" t="s">
        <v>79</v>
      </c>
      <c r="H10" s="53" t="s">
        <v>80</v>
      </c>
      <c r="I10" s="68">
        <v>0.25</v>
      </c>
      <c r="J10" s="69">
        <v>0.25</v>
      </c>
      <c r="K10" s="41"/>
      <c r="L10" s="52" t="s">
        <v>124</v>
      </c>
      <c r="M10" s="53" t="s">
        <v>298</v>
      </c>
      <c r="N10" s="54">
        <v>8000</v>
      </c>
      <c r="O10" s="55">
        <v>8000</v>
      </c>
      <c r="P10" s="45"/>
      <c r="V10"/>
      <c r="X10"/>
      <c r="AA10"/>
      <c r="AC10"/>
    </row>
    <row r="11" spans="1:29" x14ac:dyDescent="0.25">
      <c r="A11" s="37"/>
      <c r="B11" s="42" t="s">
        <v>416</v>
      </c>
      <c r="C11" s="50"/>
      <c r="D11" s="51">
        <f>$O$2+1</f>
        <v>0</v>
      </c>
      <c r="E11" s="17" t="s">
        <v>31</v>
      </c>
      <c r="F11" s="41"/>
      <c r="G11" s="63" t="s">
        <v>81</v>
      </c>
      <c r="H11" s="53" t="s">
        <v>54</v>
      </c>
      <c r="I11" s="70">
        <v>0.2</v>
      </c>
      <c r="J11" s="71">
        <v>0.2</v>
      </c>
      <c r="K11" s="41"/>
      <c r="L11" s="52" t="s">
        <v>338</v>
      </c>
      <c r="M11" s="53" t="s">
        <v>299</v>
      </c>
      <c r="N11" s="66">
        <v>0.85</v>
      </c>
      <c r="O11" s="67">
        <v>0.85</v>
      </c>
      <c r="P11" s="45"/>
      <c r="V11"/>
      <c r="X11"/>
      <c r="AA11"/>
      <c r="AC11"/>
    </row>
    <row r="12" spans="1:29" x14ac:dyDescent="0.25">
      <c r="A12" s="37"/>
      <c r="B12" s="63" t="s">
        <v>77</v>
      </c>
      <c r="C12" s="53" t="s">
        <v>52</v>
      </c>
      <c r="D12" s="243">
        <v>534</v>
      </c>
      <c r="E12" s="334">
        <v>534</v>
      </c>
      <c r="F12" s="41"/>
      <c r="G12" s="63" t="s">
        <v>465</v>
      </c>
      <c r="H12" s="53" t="s">
        <v>34</v>
      </c>
      <c r="I12" s="56">
        <v>1000</v>
      </c>
      <c r="J12" s="57">
        <v>1000</v>
      </c>
      <c r="K12" s="41"/>
      <c r="L12" s="42" t="s">
        <v>370</v>
      </c>
      <c r="M12" s="42"/>
      <c r="N12" s="51">
        <f>$O$2+1</f>
        <v>0</v>
      </c>
      <c r="O12" s="17" t="s">
        <v>31</v>
      </c>
      <c r="P12" s="45"/>
      <c r="V12"/>
      <c r="X12"/>
      <c r="AA12"/>
      <c r="AC12"/>
    </row>
    <row r="13" spans="1:29" x14ac:dyDescent="0.25">
      <c r="A13" s="37"/>
      <c r="B13" s="63" t="s">
        <v>463</v>
      </c>
      <c r="C13" s="53" t="s">
        <v>52</v>
      </c>
      <c r="D13" s="243">
        <v>445</v>
      </c>
      <c r="E13" s="334">
        <v>445</v>
      </c>
      <c r="F13" s="41"/>
      <c r="G13" s="63" t="s">
        <v>466</v>
      </c>
      <c r="H13" s="53" t="s">
        <v>80</v>
      </c>
      <c r="I13" s="68">
        <v>0.22500000000000001</v>
      </c>
      <c r="J13" s="259">
        <v>0.22500000000000001</v>
      </c>
      <c r="K13" s="41"/>
      <c r="L13" s="52" t="s">
        <v>87</v>
      </c>
      <c r="M13" s="53" t="s">
        <v>34</v>
      </c>
      <c r="N13" s="54">
        <v>20000</v>
      </c>
      <c r="O13" s="55">
        <v>20000</v>
      </c>
      <c r="P13" s="45"/>
      <c r="V13"/>
      <c r="X13"/>
      <c r="AA13"/>
      <c r="AC13"/>
    </row>
    <row r="14" spans="1:29" x14ac:dyDescent="0.25">
      <c r="A14" s="37"/>
      <c r="B14" s="63" t="s">
        <v>327</v>
      </c>
      <c r="C14" s="53" t="s">
        <v>52</v>
      </c>
      <c r="D14" s="243">
        <v>430</v>
      </c>
      <c r="E14" s="334">
        <v>430</v>
      </c>
      <c r="F14" s="41"/>
      <c r="G14" s="5" t="s">
        <v>467</v>
      </c>
      <c r="H14" s="53" t="s">
        <v>80</v>
      </c>
      <c r="I14" s="68">
        <v>0.5</v>
      </c>
      <c r="J14" s="69">
        <v>0.5</v>
      </c>
      <c r="K14" s="41"/>
      <c r="L14" s="52" t="s">
        <v>121</v>
      </c>
      <c r="M14" s="53" t="s">
        <v>122</v>
      </c>
      <c r="N14" s="54">
        <v>10</v>
      </c>
      <c r="O14" s="55">
        <v>10</v>
      </c>
      <c r="P14" s="45"/>
      <c r="V14"/>
      <c r="X14"/>
      <c r="AA14"/>
      <c r="AC14"/>
    </row>
    <row r="15" spans="1:29" x14ac:dyDescent="0.25">
      <c r="A15" s="37"/>
      <c r="B15" s="63" t="s">
        <v>328</v>
      </c>
      <c r="C15" s="53" t="s">
        <v>52</v>
      </c>
      <c r="D15" s="243">
        <v>417</v>
      </c>
      <c r="E15" s="334">
        <v>417</v>
      </c>
      <c r="F15" s="41"/>
      <c r="G15" s="63" t="s">
        <v>323</v>
      </c>
      <c r="H15" s="53" t="s">
        <v>83</v>
      </c>
      <c r="I15" s="56">
        <v>250</v>
      </c>
      <c r="J15" s="57">
        <v>250</v>
      </c>
      <c r="K15" s="41"/>
      <c r="L15" s="52" t="s">
        <v>397</v>
      </c>
      <c r="M15" s="53" t="s">
        <v>34</v>
      </c>
      <c r="N15" s="54">
        <v>500</v>
      </c>
      <c r="O15" s="55">
        <v>500</v>
      </c>
      <c r="P15" s="45"/>
      <c r="V15"/>
      <c r="X15"/>
      <c r="AA15"/>
      <c r="AC15"/>
    </row>
    <row r="16" spans="1:29" x14ac:dyDescent="0.25">
      <c r="A16" s="37"/>
      <c r="B16" s="63" t="s">
        <v>329</v>
      </c>
      <c r="C16" s="53" t="s">
        <v>52</v>
      </c>
      <c r="D16" s="243">
        <v>407</v>
      </c>
      <c r="E16" s="334">
        <v>407</v>
      </c>
      <c r="F16" s="41"/>
      <c r="G16" s="63" t="s">
        <v>340</v>
      </c>
      <c r="H16" s="53" t="s">
        <v>83</v>
      </c>
      <c r="I16" s="56">
        <v>5000</v>
      </c>
      <c r="J16" s="57">
        <v>5000</v>
      </c>
      <c r="K16" s="41"/>
      <c r="L16" s="52" t="s">
        <v>89</v>
      </c>
      <c r="M16" s="53" t="s">
        <v>34</v>
      </c>
      <c r="N16" s="54">
        <v>500</v>
      </c>
      <c r="O16" s="55">
        <v>500</v>
      </c>
      <c r="P16" s="45"/>
      <c r="V16"/>
      <c r="X16"/>
      <c r="AA16"/>
      <c r="AC16"/>
    </row>
    <row r="17" spans="1:29" x14ac:dyDescent="0.25">
      <c r="A17" s="37"/>
      <c r="B17" s="63" t="s">
        <v>86</v>
      </c>
      <c r="C17" s="53" t="s">
        <v>52</v>
      </c>
      <c r="D17" s="243">
        <v>402</v>
      </c>
      <c r="E17" s="334">
        <v>402</v>
      </c>
      <c r="F17" s="41"/>
      <c r="G17" s="63" t="s">
        <v>322</v>
      </c>
      <c r="H17" s="53" t="s">
        <v>85</v>
      </c>
      <c r="I17" s="56">
        <v>100</v>
      </c>
      <c r="J17" s="57">
        <v>100</v>
      </c>
      <c r="K17" s="41"/>
      <c r="L17" s="52" t="s">
        <v>124</v>
      </c>
      <c r="M17" s="53" t="s">
        <v>298</v>
      </c>
      <c r="N17" s="54">
        <v>15000</v>
      </c>
      <c r="O17" s="55">
        <v>15000</v>
      </c>
      <c r="P17" s="45"/>
      <c r="V17"/>
      <c r="X17"/>
      <c r="AA17"/>
      <c r="AC17"/>
    </row>
    <row r="18" spans="1:29" x14ac:dyDescent="0.25">
      <c r="A18" s="37"/>
      <c r="B18" s="42" t="s">
        <v>417</v>
      </c>
      <c r="C18" s="50"/>
      <c r="D18" s="257">
        <f>$O$2+1</f>
        <v>0</v>
      </c>
      <c r="E18" s="258" t="s">
        <v>31</v>
      </c>
      <c r="F18" s="41"/>
      <c r="G18" s="63" t="s">
        <v>341</v>
      </c>
      <c r="H18" s="53" t="s">
        <v>85</v>
      </c>
      <c r="I18" s="56">
        <v>0</v>
      </c>
      <c r="J18" s="57">
        <v>0</v>
      </c>
      <c r="K18" s="41"/>
      <c r="L18" s="52" t="s">
        <v>338</v>
      </c>
      <c r="M18" s="53" t="s">
        <v>299</v>
      </c>
      <c r="N18" s="66">
        <v>0.8</v>
      </c>
      <c r="O18" s="67">
        <v>0.8</v>
      </c>
      <c r="P18" s="45"/>
      <c r="V18"/>
      <c r="X18"/>
      <c r="AA18"/>
      <c r="AC18"/>
    </row>
    <row r="19" spans="1:29" x14ac:dyDescent="0.25">
      <c r="A19" s="37"/>
      <c r="B19" s="63" t="s">
        <v>77</v>
      </c>
      <c r="C19" s="256" t="s">
        <v>52</v>
      </c>
      <c r="D19" s="60">
        <v>948</v>
      </c>
      <c r="E19" s="61">
        <v>948</v>
      </c>
      <c r="F19" s="41"/>
      <c r="G19" s="41"/>
      <c r="H19" s="41"/>
      <c r="I19" s="41"/>
      <c r="J19" s="41"/>
      <c r="K19" s="41"/>
      <c r="L19" s="42" t="s">
        <v>371</v>
      </c>
      <c r="M19" s="42"/>
      <c r="N19" s="51">
        <f>$O$2+1</f>
        <v>0</v>
      </c>
      <c r="O19" s="17" t="s">
        <v>31</v>
      </c>
      <c r="P19" s="45"/>
      <c r="V19"/>
      <c r="X19"/>
      <c r="AA19"/>
      <c r="AC19"/>
    </row>
    <row r="20" spans="1:29" x14ac:dyDescent="0.25">
      <c r="A20" s="37"/>
      <c r="B20" s="63" t="s">
        <v>464</v>
      </c>
      <c r="C20" s="256" t="s">
        <v>52</v>
      </c>
      <c r="D20" s="60">
        <v>790</v>
      </c>
      <c r="E20" s="61">
        <v>790</v>
      </c>
      <c r="F20" s="41"/>
      <c r="G20" s="41"/>
      <c r="H20" s="41"/>
      <c r="I20" s="41"/>
      <c r="J20" s="41"/>
      <c r="K20" s="41"/>
      <c r="L20" s="52" t="s">
        <v>87</v>
      </c>
      <c r="M20" s="53" t="s">
        <v>34</v>
      </c>
      <c r="N20" s="54">
        <v>36000</v>
      </c>
      <c r="O20" s="55">
        <v>36000</v>
      </c>
      <c r="P20" s="45"/>
      <c r="V20"/>
      <c r="X20"/>
      <c r="AA20"/>
      <c r="AC20"/>
    </row>
    <row r="21" spans="1:29" x14ac:dyDescent="0.25">
      <c r="A21" s="37"/>
      <c r="B21" s="63" t="s">
        <v>330</v>
      </c>
      <c r="C21" s="256" t="s">
        <v>52</v>
      </c>
      <c r="D21" s="60">
        <v>770</v>
      </c>
      <c r="E21" s="61">
        <v>770</v>
      </c>
      <c r="F21" s="41"/>
      <c r="G21" s="46" t="s">
        <v>49</v>
      </c>
      <c r="H21" s="47"/>
      <c r="I21" s="48"/>
      <c r="J21" s="49"/>
      <c r="K21" s="41"/>
      <c r="L21" s="52" t="s">
        <v>121</v>
      </c>
      <c r="M21" s="53" t="s">
        <v>122</v>
      </c>
      <c r="N21" s="54">
        <v>12</v>
      </c>
      <c r="O21" s="55">
        <v>12</v>
      </c>
      <c r="P21" s="45"/>
      <c r="V21"/>
      <c r="X21"/>
      <c r="AA21"/>
      <c r="AC21"/>
    </row>
    <row r="22" spans="1:29" x14ac:dyDescent="0.25">
      <c r="A22" s="37"/>
      <c r="B22" s="63" t="s">
        <v>331</v>
      </c>
      <c r="C22" s="256" t="s">
        <v>52</v>
      </c>
      <c r="D22" s="60">
        <v>752</v>
      </c>
      <c r="E22" s="61">
        <v>752</v>
      </c>
      <c r="F22" s="41"/>
      <c r="G22" s="42" t="s">
        <v>305</v>
      </c>
      <c r="H22" s="50"/>
      <c r="I22" s="51">
        <f>$O$2+1</f>
        <v>0</v>
      </c>
      <c r="J22" s="16" t="s">
        <v>31</v>
      </c>
      <c r="K22" s="41"/>
      <c r="L22" s="52" t="s">
        <v>397</v>
      </c>
      <c r="M22" s="53" t="s">
        <v>34</v>
      </c>
      <c r="N22" s="54">
        <v>500</v>
      </c>
      <c r="O22" s="55">
        <v>500</v>
      </c>
      <c r="P22" s="45"/>
      <c r="V22"/>
      <c r="X22"/>
      <c r="AA22"/>
      <c r="AC22"/>
    </row>
    <row r="23" spans="1:29" x14ac:dyDescent="0.25">
      <c r="A23" s="37"/>
      <c r="B23" s="63" t="s">
        <v>332</v>
      </c>
      <c r="C23" s="256" t="s">
        <v>52</v>
      </c>
      <c r="D23" s="60">
        <v>737</v>
      </c>
      <c r="E23" s="61">
        <v>737</v>
      </c>
      <c r="F23" s="41"/>
      <c r="G23" s="52" t="s">
        <v>392</v>
      </c>
      <c r="H23" s="53" t="s">
        <v>53</v>
      </c>
      <c r="I23" s="56">
        <v>1</v>
      </c>
      <c r="J23" s="57">
        <v>1</v>
      </c>
      <c r="K23" s="42"/>
      <c r="L23" s="52" t="s">
        <v>89</v>
      </c>
      <c r="M23" s="53" t="s">
        <v>34</v>
      </c>
      <c r="N23" s="54">
        <v>1300</v>
      </c>
      <c r="O23" s="55">
        <v>1300</v>
      </c>
      <c r="P23" s="45"/>
      <c r="V23"/>
      <c r="X23"/>
      <c r="AA23"/>
      <c r="AC23"/>
    </row>
    <row r="24" spans="1:29" x14ac:dyDescent="0.25">
      <c r="A24" s="37"/>
      <c r="B24" s="63" t="s">
        <v>333</v>
      </c>
      <c r="C24" s="256" t="s">
        <v>52</v>
      </c>
      <c r="D24" s="60">
        <v>727</v>
      </c>
      <c r="E24" s="61">
        <v>727</v>
      </c>
      <c r="F24" s="41"/>
      <c r="G24" s="52" t="s">
        <v>418</v>
      </c>
      <c r="H24" s="53" t="s">
        <v>53</v>
      </c>
      <c r="I24" s="56">
        <v>1</v>
      </c>
      <c r="J24" s="57">
        <v>1</v>
      </c>
      <c r="K24" s="42"/>
      <c r="L24" s="52" t="s">
        <v>124</v>
      </c>
      <c r="M24" s="53" t="s">
        <v>298</v>
      </c>
      <c r="N24" s="54">
        <v>30000</v>
      </c>
      <c r="O24" s="55">
        <v>30000</v>
      </c>
      <c r="P24" s="45"/>
      <c r="V24"/>
      <c r="X24"/>
      <c r="AA24"/>
      <c r="AC24"/>
    </row>
    <row r="25" spans="1:29" x14ac:dyDescent="0.25">
      <c r="A25" s="37"/>
      <c r="B25" s="42" t="s">
        <v>419</v>
      </c>
      <c r="C25" s="50"/>
      <c r="D25" s="51">
        <f>$O$2+1</f>
        <v>0</v>
      </c>
      <c r="E25" s="17" t="s">
        <v>31</v>
      </c>
      <c r="F25" s="42"/>
      <c r="G25" s="52" t="s">
        <v>339</v>
      </c>
      <c r="H25" s="53" t="s">
        <v>58</v>
      </c>
      <c r="I25" s="60">
        <v>8</v>
      </c>
      <c r="J25" s="61">
        <v>8</v>
      </c>
      <c r="K25" s="42"/>
      <c r="L25" s="52" t="s">
        <v>338</v>
      </c>
      <c r="M25" s="53" t="s">
        <v>299</v>
      </c>
      <c r="N25" s="66">
        <v>0.9</v>
      </c>
      <c r="O25" s="67">
        <v>0.9</v>
      </c>
      <c r="P25" s="45"/>
      <c r="V25"/>
      <c r="X25"/>
      <c r="AA25"/>
      <c r="AC25"/>
    </row>
    <row r="26" spans="1:29" x14ac:dyDescent="0.25">
      <c r="A26" s="37"/>
      <c r="B26" s="52" t="s">
        <v>389</v>
      </c>
      <c r="C26" s="62" t="s">
        <v>69</v>
      </c>
      <c r="D26" s="54">
        <v>2</v>
      </c>
      <c r="E26" s="55">
        <v>2</v>
      </c>
      <c r="F26" s="42"/>
      <c r="G26" s="52" t="s">
        <v>59</v>
      </c>
      <c r="H26" s="53" t="s">
        <v>60</v>
      </c>
      <c r="I26" s="56">
        <v>1000</v>
      </c>
      <c r="J26" s="57">
        <v>1000</v>
      </c>
      <c r="K26" s="42"/>
      <c r="L26" s="41"/>
      <c r="M26" s="41"/>
      <c r="N26" s="41"/>
      <c r="O26" s="41"/>
      <c r="P26" s="45"/>
      <c r="V26"/>
      <c r="X26"/>
      <c r="AA26"/>
      <c r="AC26"/>
    </row>
    <row r="27" spans="1:29" x14ac:dyDescent="0.25">
      <c r="A27" s="37"/>
      <c r="B27" s="52" t="s">
        <v>420</v>
      </c>
      <c r="C27" s="62" t="s">
        <v>69</v>
      </c>
      <c r="D27" s="54">
        <v>10</v>
      </c>
      <c r="E27" s="55">
        <v>10</v>
      </c>
      <c r="F27" s="42"/>
      <c r="G27" s="42" t="s">
        <v>61</v>
      </c>
      <c r="H27" s="50"/>
      <c r="I27" s="257">
        <f>$O$2+1</f>
        <v>0</v>
      </c>
      <c r="J27" s="258" t="s">
        <v>31</v>
      </c>
      <c r="K27" s="42"/>
      <c r="L27" s="46" t="s">
        <v>48</v>
      </c>
      <c r="M27" s="47"/>
      <c r="N27" s="48"/>
      <c r="O27" s="49"/>
      <c r="P27" s="45"/>
      <c r="V27"/>
      <c r="X27"/>
      <c r="AA27"/>
      <c r="AC27"/>
    </row>
    <row r="28" spans="1:29" x14ac:dyDescent="0.25">
      <c r="A28" s="37"/>
      <c r="B28" s="63" t="s">
        <v>421</v>
      </c>
      <c r="C28" s="256" t="s">
        <v>69</v>
      </c>
      <c r="D28" s="56">
        <v>15</v>
      </c>
      <c r="E28" s="57">
        <v>15</v>
      </c>
      <c r="F28" s="42"/>
      <c r="G28" s="63" t="s">
        <v>392</v>
      </c>
      <c r="H28" s="256" t="s">
        <v>53</v>
      </c>
      <c r="I28" s="56">
        <v>2</v>
      </c>
      <c r="J28" s="57">
        <v>2</v>
      </c>
      <c r="K28" s="42"/>
      <c r="L28" s="42" t="s">
        <v>50</v>
      </c>
      <c r="M28" s="50"/>
      <c r="N28" s="51">
        <f>$O$2+1</f>
        <v>0</v>
      </c>
      <c r="O28" s="16" t="s">
        <v>31</v>
      </c>
      <c r="P28" s="45"/>
      <c r="V28"/>
      <c r="X28"/>
      <c r="AA28"/>
      <c r="AC28"/>
    </row>
    <row r="29" spans="1:29" x14ac:dyDescent="0.25">
      <c r="A29" s="37"/>
      <c r="B29" s="42"/>
      <c r="C29" s="42"/>
      <c r="D29" s="42"/>
      <c r="E29" s="42"/>
      <c r="F29" s="42"/>
      <c r="G29" s="63" t="s">
        <v>422</v>
      </c>
      <c r="H29" s="256" t="s">
        <v>53</v>
      </c>
      <c r="I29" s="56">
        <v>1</v>
      </c>
      <c r="J29" s="57">
        <v>1</v>
      </c>
      <c r="K29" s="42"/>
      <c r="L29" s="52" t="s">
        <v>306</v>
      </c>
      <c r="M29" s="53" t="s">
        <v>52</v>
      </c>
      <c r="N29" s="54">
        <v>0</v>
      </c>
      <c r="O29" s="55">
        <v>0</v>
      </c>
      <c r="P29" s="45"/>
      <c r="V29"/>
      <c r="X29"/>
      <c r="AA29"/>
      <c r="AC29"/>
    </row>
    <row r="30" spans="1:29" x14ac:dyDescent="0.25">
      <c r="A30" s="37"/>
      <c r="B30" s="42"/>
      <c r="C30" s="42"/>
      <c r="D30" s="42"/>
      <c r="E30" s="42"/>
      <c r="F30" s="42"/>
      <c r="G30" s="63" t="s">
        <v>324</v>
      </c>
      <c r="H30" s="256" t="s">
        <v>58</v>
      </c>
      <c r="I30" s="60">
        <v>12</v>
      </c>
      <c r="J30" s="61">
        <v>12</v>
      </c>
      <c r="K30" s="42"/>
      <c r="L30" s="52" t="s">
        <v>307</v>
      </c>
      <c r="M30" s="53" t="s">
        <v>55</v>
      </c>
      <c r="N30" s="54">
        <v>0</v>
      </c>
      <c r="O30" s="55">
        <v>0</v>
      </c>
      <c r="P30" s="45"/>
      <c r="V30"/>
      <c r="X30"/>
      <c r="AA30"/>
      <c r="AC30"/>
    </row>
    <row r="31" spans="1:29" x14ac:dyDescent="0.25">
      <c r="A31" s="37"/>
      <c r="B31" s="46" t="s">
        <v>337</v>
      </c>
      <c r="C31" s="47"/>
      <c r="D31" s="48"/>
      <c r="E31" s="49"/>
      <c r="F31" s="42"/>
      <c r="G31" s="63" t="s">
        <v>59</v>
      </c>
      <c r="H31" s="256" t="s">
        <v>60</v>
      </c>
      <c r="I31" s="56">
        <v>2000</v>
      </c>
      <c r="J31" s="57">
        <v>2000</v>
      </c>
      <c r="K31" s="42"/>
      <c r="L31" s="42" t="s">
        <v>57</v>
      </c>
      <c r="M31" s="50"/>
      <c r="N31" s="51">
        <f>$O$2+1</f>
        <v>0</v>
      </c>
      <c r="O31" s="17" t="s">
        <v>31</v>
      </c>
      <c r="P31" s="45"/>
      <c r="V31"/>
      <c r="X31"/>
      <c r="AA31"/>
      <c r="AC31"/>
    </row>
    <row r="32" spans="1:29" x14ac:dyDescent="0.25">
      <c r="A32" s="37"/>
      <c r="B32" s="42" t="s">
        <v>51</v>
      </c>
      <c r="C32" s="50"/>
      <c r="D32" s="51">
        <f>$O$2+1</f>
        <v>0</v>
      </c>
      <c r="E32" s="16" t="s">
        <v>31</v>
      </c>
      <c r="F32" s="42"/>
      <c r="G32" s="41"/>
      <c r="H32" s="41"/>
      <c r="I32" s="41"/>
      <c r="J32" s="41"/>
      <c r="K32" s="42"/>
      <c r="L32" s="52" t="s">
        <v>409</v>
      </c>
      <c r="M32" s="62" t="s">
        <v>52</v>
      </c>
      <c r="N32" s="243">
        <v>5</v>
      </c>
      <c r="O32" s="334">
        <v>5</v>
      </c>
      <c r="P32" s="45"/>
      <c r="V32"/>
      <c r="X32"/>
      <c r="AA32"/>
      <c r="AC32"/>
    </row>
    <row r="33" spans="1:29" x14ac:dyDescent="0.25">
      <c r="A33" s="37"/>
      <c r="B33" s="5" t="s">
        <v>271</v>
      </c>
      <c r="C33" s="53" t="s">
        <v>54</v>
      </c>
      <c r="D33" s="58">
        <v>1.4999999999999999E-2</v>
      </c>
      <c r="E33" s="59">
        <v>1.4999999999999999E-2</v>
      </c>
      <c r="F33" s="42"/>
      <c r="G33" s="41"/>
      <c r="H33" s="41"/>
      <c r="I33" s="41"/>
      <c r="J33" s="41"/>
      <c r="K33" s="42"/>
      <c r="L33" s="52" t="s">
        <v>408</v>
      </c>
      <c r="M33" s="62" t="s">
        <v>52</v>
      </c>
      <c r="N33" s="243">
        <v>8</v>
      </c>
      <c r="O33" s="334">
        <v>8</v>
      </c>
      <c r="P33" s="45"/>
      <c r="V33"/>
      <c r="X33"/>
      <c r="AA33"/>
      <c r="AC33"/>
    </row>
    <row r="34" spans="1:29" x14ac:dyDescent="0.25">
      <c r="A34" s="37"/>
      <c r="B34" s="5" t="s">
        <v>393</v>
      </c>
      <c r="C34" s="53" t="s">
        <v>54</v>
      </c>
      <c r="D34" s="58">
        <v>2.5000000000000001E-2</v>
      </c>
      <c r="E34" s="59">
        <v>2.5000000000000001E-2</v>
      </c>
      <c r="F34" s="42"/>
      <c r="G34" s="46" t="s">
        <v>302</v>
      </c>
      <c r="H34" s="47"/>
      <c r="I34" s="48"/>
      <c r="J34" s="49"/>
      <c r="K34" s="42"/>
      <c r="L34" s="63" t="s">
        <v>365</v>
      </c>
      <c r="M34" s="256" t="s">
        <v>52</v>
      </c>
      <c r="N34" s="60">
        <v>10</v>
      </c>
      <c r="O34" s="61">
        <v>10</v>
      </c>
      <c r="P34" s="45"/>
      <c r="V34"/>
      <c r="X34"/>
      <c r="AA34"/>
      <c r="AC34"/>
    </row>
    <row r="35" spans="1:29" x14ac:dyDescent="0.25">
      <c r="A35" s="37"/>
      <c r="B35" s="52" t="s">
        <v>56</v>
      </c>
      <c r="C35" s="53" t="s">
        <v>54</v>
      </c>
      <c r="D35" s="58">
        <v>0.08</v>
      </c>
      <c r="E35" s="59">
        <v>0.08</v>
      </c>
      <c r="F35" s="42"/>
      <c r="G35" s="42" t="s">
        <v>36</v>
      </c>
      <c r="H35" s="42"/>
      <c r="I35" s="51">
        <f>$O$2+1</f>
        <v>0</v>
      </c>
      <c r="J35" s="16" t="s">
        <v>31</v>
      </c>
      <c r="K35" s="42"/>
      <c r="L35" s="63" t="s">
        <v>366</v>
      </c>
      <c r="M35" s="256" t="s">
        <v>52</v>
      </c>
      <c r="N35" s="60">
        <v>12</v>
      </c>
      <c r="O35" s="61">
        <v>12</v>
      </c>
      <c r="P35" s="45"/>
      <c r="V35"/>
      <c r="X35"/>
      <c r="AA35"/>
      <c r="AC35"/>
    </row>
    <row r="36" spans="1:29" x14ac:dyDescent="0.25">
      <c r="A36" s="37"/>
      <c r="B36" s="5" t="s">
        <v>394</v>
      </c>
      <c r="C36" s="53" t="s">
        <v>54</v>
      </c>
      <c r="D36" s="58">
        <v>0.03</v>
      </c>
      <c r="E36" s="59">
        <v>0.03</v>
      </c>
      <c r="F36" s="42"/>
      <c r="G36" s="52" t="s">
        <v>301</v>
      </c>
      <c r="H36" s="53" t="s">
        <v>34</v>
      </c>
      <c r="I36" s="54">
        <v>0</v>
      </c>
      <c r="J36" s="55">
        <v>0</v>
      </c>
      <c r="K36" s="42"/>
      <c r="L36" s="63" t="s">
        <v>414</v>
      </c>
      <c r="M36" s="256" t="s">
        <v>52</v>
      </c>
      <c r="N36" s="60">
        <v>16</v>
      </c>
      <c r="O36" s="61">
        <v>16</v>
      </c>
      <c r="P36" s="45"/>
      <c r="V36"/>
      <c r="X36"/>
      <c r="AA36"/>
      <c r="AC36"/>
    </row>
    <row r="37" spans="1:29" x14ac:dyDescent="0.25">
      <c r="A37" s="37"/>
      <c r="B37" s="5" t="s">
        <v>395</v>
      </c>
      <c r="C37" s="53" t="s">
        <v>54</v>
      </c>
      <c r="D37" s="58">
        <v>3.4000000000000002E-2</v>
      </c>
      <c r="E37" s="59">
        <v>3.4000000000000002E-2</v>
      </c>
      <c r="F37" s="42"/>
      <c r="G37" s="52" t="s">
        <v>300</v>
      </c>
      <c r="H37" s="53" t="s">
        <v>34</v>
      </c>
      <c r="I37" s="54">
        <v>300</v>
      </c>
      <c r="J37" s="55">
        <v>0</v>
      </c>
      <c r="K37" s="42"/>
      <c r="L37" s="63" t="s">
        <v>410</v>
      </c>
      <c r="M37" s="256" t="s">
        <v>52</v>
      </c>
      <c r="N37" s="60">
        <v>6</v>
      </c>
      <c r="O37" s="61">
        <v>6</v>
      </c>
      <c r="P37" s="45"/>
      <c r="V37"/>
      <c r="X37"/>
      <c r="AA37"/>
      <c r="AC37"/>
    </row>
    <row r="38" spans="1:29" x14ac:dyDescent="0.25">
      <c r="A38" s="37"/>
      <c r="B38" s="5" t="s">
        <v>396</v>
      </c>
      <c r="C38" s="53" t="s">
        <v>54</v>
      </c>
      <c r="D38" s="58">
        <v>0.04</v>
      </c>
      <c r="E38" s="59">
        <v>0.04</v>
      </c>
      <c r="F38" s="42"/>
      <c r="G38" s="52" t="s">
        <v>428</v>
      </c>
      <c r="H38" s="53" t="s">
        <v>34</v>
      </c>
      <c r="I38" s="54">
        <v>8000</v>
      </c>
      <c r="J38" s="55">
        <v>8000</v>
      </c>
      <c r="K38" s="42"/>
      <c r="L38" s="63" t="s">
        <v>411</v>
      </c>
      <c r="M38" s="256" t="s">
        <v>52</v>
      </c>
      <c r="N38" s="60">
        <v>9.6</v>
      </c>
      <c r="O38" s="61">
        <v>9.6</v>
      </c>
      <c r="P38" s="45"/>
      <c r="V38"/>
      <c r="X38"/>
      <c r="AA38"/>
      <c r="AC38"/>
    </row>
    <row r="39" spans="1:29" ht="15.65" customHeight="1" x14ac:dyDescent="0.25">
      <c r="A39" s="37"/>
      <c r="B39" s="42" t="s">
        <v>63</v>
      </c>
      <c r="C39" s="50"/>
      <c r="D39" s="51">
        <f>$O$2+1</f>
        <v>0</v>
      </c>
      <c r="E39" s="16" t="s">
        <v>31</v>
      </c>
      <c r="F39" s="42"/>
      <c r="G39" s="52" t="s">
        <v>123</v>
      </c>
      <c r="H39" s="53" t="s">
        <v>34</v>
      </c>
      <c r="I39" s="54">
        <v>1140</v>
      </c>
      <c r="J39" s="55">
        <v>1140</v>
      </c>
      <c r="K39" s="42"/>
      <c r="L39" s="63" t="s">
        <v>367</v>
      </c>
      <c r="M39" s="256" t="s">
        <v>52</v>
      </c>
      <c r="N39" s="60">
        <v>12.5</v>
      </c>
      <c r="O39" s="61">
        <v>12.5</v>
      </c>
      <c r="P39" s="45"/>
      <c r="V39"/>
      <c r="X39"/>
      <c r="AA39"/>
      <c r="AC39"/>
    </row>
    <row r="40" spans="1:29" x14ac:dyDescent="0.25">
      <c r="A40" s="37"/>
      <c r="B40" s="63" t="s">
        <v>342</v>
      </c>
      <c r="C40" s="53" t="s">
        <v>65</v>
      </c>
      <c r="D40" s="64">
        <v>1.46</v>
      </c>
      <c r="E40" s="65">
        <v>1.45</v>
      </c>
      <c r="F40" s="42"/>
      <c r="G40" s="42" t="s">
        <v>40</v>
      </c>
      <c r="H40" s="42"/>
      <c r="I40" s="51">
        <f>$O$2+1</f>
        <v>0</v>
      </c>
      <c r="J40" s="17" t="s">
        <v>31</v>
      </c>
      <c r="K40" s="42"/>
      <c r="L40" s="63" t="s">
        <v>368</v>
      </c>
      <c r="M40" s="256" t="s">
        <v>52</v>
      </c>
      <c r="N40" s="60">
        <v>15</v>
      </c>
      <c r="O40" s="61">
        <v>15</v>
      </c>
      <c r="P40" s="45"/>
      <c r="V40"/>
      <c r="X40"/>
      <c r="AA40"/>
      <c r="AC40"/>
    </row>
    <row r="41" spans="1:29" x14ac:dyDescent="0.25">
      <c r="A41" s="37"/>
      <c r="B41" s="63" t="s">
        <v>67</v>
      </c>
      <c r="C41" s="53" t="s">
        <v>68</v>
      </c>
      <c r="D41" s="66">
        <v>0.8</v>
      </c>
      <c r="E41" s="67">
        <v>0.8</v>
      </c>
      <c r="F41" s="42"/>
      <c r="G41" s="52" t="s">
        <v>301</v>
      </c>
      <c r="H41" s="53" t="s">
        <v>34</v>
      </c>
      <c r="I41" s="54">
        <v>800</v>
      </c>
      <c r="J41" s="55">
        <v>800</v>
      </c>
      <c r="K41" s="42"/>
      <c r="L41" s="63" t="s">
        <v>415</v>
      </c>
      <c r="M41" s="256" t="s">
        <v>52</v>
      </c>
      <c r="N41" s="60">
        <v>20</v>
      </c>
      <c r="O41" s="61">
        <v>20</v>
      </c>
      <c r="P41" s="45"/>
      <c r="V41"/>
      <c r="X41"/>
      <c r="AA41"/>
      <c r="AC41"/>
    </row>
    <row r="42" spans="1:29" x14ac:dyDescent="0.25">
      <c r="A42" s="37"/>
      <c r="B42" s="63" t="s">
        <v>70</v>
      </c>
      <c r="C42" s="53" t="s">
        <v>71</v>
      </c>
      <c r="D42" s="66">
        <v>0.35</v>
      </c>
      <c r="E42" s="67">
        <v>0.35</v>
      </c>
      <c r="F42" s="42"/>
      <c r="G42" s="41"/>
      <c r="H42" s="41"/>
      <c r="I42" s="41"/>
      <c r="J42" s="41"/>
      <c r="K42" s="42"/>
      <c r="L42" s="42" t="s">
        <v>66</v>
      </c>
      <c r="M42" s="50"/>
      <c r="N42" s="51">
        <f>$O$2+1</f>
        <v>0</v>
      </c>
      <c r="O42" s="17" t="s">
        <v>31</v>
      </c>
      <c r="P42" s="45"/>
      <c r="V42"/>
      <c r="X42"/>
      <c r="AA42"/>
      <c r="AC42"/>
    </row>
    <row r="43" spans="1:29" x14ac:dyDescent="0.25">
      <c r="A43" s="37"/>
      <c r="B43" s="42"/>
      <c r="C43" s="42"/>
      <c r="D43" s="42"/>
      <c r="E43" s="42"/>
      <c r="F43" s="42"/>
      <c r="G43" s="41"/>
      <c r="H43" s="41"/>
      <c r="I43" s="41"/>
      <c r="J43" s="41"/>
      <c r="K43" s="42"/>
      <c r="L43" s="52" t="s">
        <v>308</v>
      </c>
      <c r="M43" s="62" t="s">
        <v>69</v>
      </c>
      <c r="N43" s="243">
        <v>30</v>
      </c>
      <c r="O43" s="334">
        <v>30</v>
      </c>
      <c r="P43" s="45"/>
      <c r="V43"/>
      <c r="X43"/>
      <c r="AA43"/>
      <c r="AC43"/>
    </row>
    <row r="44" spans="1:29" x14ac:dyDescent="0.25">
      <c r="A44" s="37"/>
      <c r="B44" s="42"/>
      <c r="C44" s="42"/>
      <c r="D44" s="42"/>
      <c r="E44" s="42"/>
      <c r="F44" s="42"/>
      <c r="G44" s="41"/>
      <c r="H44" s="41"/>
      <c r="I44" s="41"/>
      <c r="J44" s="41"/>
      <c r="K44" s="42"/>
      <c r="L44" s="63" t="s">
        <v>309</v>
      </c>
      <c r="M44" s="256" t="s">
        <v>69</v>
      </c>
      <c r="N44" s="60">
        <v>36</v>
      </c>
      <c r="O44" s="61">
        <v>36</v>
      </c>
      <c r="P44" s="45"/>
      <c r="V44"/>
      <c r="X44"/>
      <c r="AA44"/>
      <c r="AC44"/>
    </row>
    <row r="45" spans="1:29" x14ac:dyDescent="0.25">
      <c r="A45" s="37"/>
      <c r="B45" s="42"/>
      <c r="C45" s="42"/>
      <c r="D45" s="42"/>
      <c r="E45" s="42"/>
      <c r="F45" s="42"/>
      <c r="G45" s="41"/>
      <c r="H45" s="41"/>
      <c r="I45" s="41"/>
      <c r="J45" s="41"/>
      <c r="K45" s="42"/>
      <c r="L45" s="63" t="s">
        <v>62</v>
      </c>
      <c r="M45" s="256" t="s">
        <v>69</v>
      </c>
      <c r="N45" s="60">
        <v>40</v>
      </c>
      <c r="O45" s="61">
        <v>40</v>
      </c>
      <c r="P45" s="45"/>
      <c r="V45"/>
      <c r="X45"/>
      <c r="AA45"/>
      <c r="AC45"/>
    </row>
    <row r="46" spans="1:29" x14ac:dyDescent="0.25">
      <c r="A46" s="37"/>
      <c r="B46" s="42"/>
      <c r="C46" s="42"/>
      <c r="D46" s="42"/>
      <c r="E46" s="42"/>
      <c r="F46" s="42"/>
      <c r="G46" s="41"/>
      <c r="H46" s="41"/>
      <c r="I46" s="41"/>
      <c r="J46" s="41"/>
      <c r="K46" s="42"/>
      <c r="L46" s="63" t="s">
        <v>64</v>
      </c>
      <c r="M46" s="256" t="s">
        <v>69</v>
      </c>
      <c r="N46" s="60">
        <v>48</v>
      </c>
      <c r="O46" s="61">
        <v>48</v>
      </c>
      <c r="P46" s="45"/>
      <c r="V46"/>
      <c r="X46"/>
      <c r="AA46"/>
      <c r="AC46"/>
    </row>
    <row r="47" spans="1:29" ht="14.95" thickBot="1" x14ac:dyDescent="0.3">
      <c r="A47" s="72"/>
      <c r="B47" s="73"/>
      <c r="C47" s="73"/>
      <c r="D47" s="73"/>
      <c r="E47" s="73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293" t="s">
        <v>457</v>
      </c>
      <c r="V47"/>
      <c r="X47"/>
      <c r="AA47"/>
      <c r="AC47"/>
    </row>
    <row r="48" spans="1:29" x14ac:dyDescent="0.25">
      <c r="V48"/>
      <c r="X48"/>
      <c r="AA48"/>
      <c r="AC48"/>
    </row>
    <row r="49" spans="10:29" x14ac:dyDescent="0.25">
      <c r="V49"/>
      <c r="X49"/>
      <c r="AA49"/>
      <c r="AC49"/>
    </row>
    <row r="50" spans="10:29" x14ac:dyDescent="0.25">
      <c r="V50"/>
      <c r="X50"/>
      <c r="AA50"/>
      <c r="AC50"/>
    </row>
    <row r="51" spans="10:29" x14ac:dyDescent="0.25">
      <c r="V51"/>
      <c r="X51"/>
      <c r="AA51"/>
      <c r="AC51"/>
    </row>
    <row r="52" spans="10:29" x14ac:dyDescent="0.25">
      <c r="J52" s="294"/>
      <c r="V52"/>
      <c r="X52"/>
      <c r="AA52"/>
      <c r="AC52"/>
    </row>
    <row r="53" spans="10:29" x14ac:dyDescent="0.25">
      <c r="V53"/>
      <c r="X53"/>
      <c r="AA53"/>
      <c r="AC53"/>
    </row>
    <row r="54" spans="10:29" x14ac:dyDescent="0.25">
      <c r="V54"/>
      <c r="X54"/>
      <c r="AA54"/>
      <c r="AC54"/>
    </row>
    <row r="55" spans="10:29" x14ac:dyDescent="0.25">
      <c r="V55"/>
      <c r="X55"/>
      <c r="AA55"/>
      <c r="AC55"/>
    </row>
    <row r="56" spans="10:29" x14ac:dyDescent="0.25">
      <c r="V56"/>
      <c r="X56"/>
      <c r="AA56"/>
      <c r="AC56"/>
    </row>
    <row r="57" spans="10:29" x14ac:dyDescent="0.25">
      <c r="V57"/>
      <c r="X57"/>
      <c r="AA57"/>
      <c r="AC57"/>
    </row>
    <row r="58" spans="10:29" x14ac:dyDescent="0.25">
      <c r="V58"/>
      <c r="X58"/>
      <c r="AA58"/>
      <c r="AC58"/>
    </row>
    <row r="59" spans="10:29" x14ac:dyDescent="0.25">
      <c r="V59"/>
      <c r="X59"/>
      <c r="AA59"/>
      <c r="AC59"/>
    </row>
    <row r="60" spans="10:29" x14ac:dyDescent="0.25">
      <c r="V60"/>
      <c r="X60"/>
      <c r="AA60"/>
      <c r="AC60"/>
    </row>
    <row r="61" spans="10:29" x14ac:dyDescent="0.25">
      <c r="V61"/>
      <c r="X61"/>
      <c r="AA61"/>
      <c r="AC61"/>
    </row>
    <row r="62" spans="10:29" x14ac:dyDescent="0.25">
      <c r="V62"/>
      <c r="X62"/>
      <c r="AA62"/>
      <c r="AC62"/>
    </row>
  </sheetData>
  <conditionalFormatting sqref="B18 G27">
    <cfRule type="expression" dxfId="25" priority="25">
      <formula>$O$2&lt;3</formula>
    </cfRule>
  </conditionalFormatting>
  <conditionalFormatting sqref="C19:C24 C28 H28:H31 M37:M40 M45">
    <cfRule type="expression" dxfId="24" priority="30">
      <formula>$O$2&lt;3</formula>
    </cfRule>
  </conditionalFormatting>
  <conditionalFormatting sqref="D18 B19:B24 I27 B28 G28:G31 L37:L38 L45">
    <cfRule type="expression" dxfId="23" priority="26">
      <formula>$O$2&lt;3</formula>
    </cfRule>
  </conditionalFormatting>
  <conditionalFormatting sqref="D19:D24 D28 I28:I31 O34:O36 N37:N40 O44 N45">
    <cfRule type="expression" dxfId="22" priority="34">
      <formula>$O$2&lt;3</formula>
    </cfRule>
  </conditionalFormatting>
  <conditionalFormatting sqref="E18 J27">
    <cfRule type="expression" dxfId="21" priority="37">
      <formula>$O$2&lt;4</formula>
    </cfRule>
  </conditionalFormatting>
  <conditionalFormatting sqref="E19:E24 E28 J28:J31 O37:O40 O45">
    <cfRule type="expression" dxfId="20" priority="39">
      <formula>$O$2&lt;4</formula>
    </cfRule>
  </conditionalFormatting>
  <conditionalFormatting sqref="L34:L36 L44">
    <cfRule type="expression" dxfId="19" priority="22">
      <formula>$O$2&lt;2</formula>
    </cfRule>
  </conditionalFormatting>
  <conditionalFormatting sqref="L39:L41">
    <cfRule type="expression" dxfId="18" priority="45">
      <formula>$O$2&lt;6</formula>
    </cfRule>
  </conditionalFormatting>
  <conditionalFormatting sqref="L46">
    <cfRule type="expression" dxfId="17" priority="42">
      <formula>$O$2&lt;5</formula>
    </cfRule>
  </conditionalFormatting>
  <conditionalFormatting sqref="M34:M36 M44">
    <cfRule type="expression" dxfId="16" priority="23">
      <formula>$O$2&lt;2</formula>
    </cfRule>
  </conditionalFormatting>
  <conditionalFormatting sqref="M41 M46">
    <cfRule type="expression" dxfId="15" priority="43">
      <formula>$O$2&lt;5</formula>
    </cfRule>
  </conditionalFormatting>
  <conditionalFormatting sqref="N34:N36 N44">
    <cfRule type="expression" dxfId="14" priority="24">
      <formula>$O$2&lt;2</formula>
    </cfRule>
  </conditionalFormatting>
  <conditionalFormatting sqref="N41 N46">
    <cfRule type="expression" dxfId="13" priority="44">
      <formula>$O$2&lt;5</formula>
    </cfRule>
  </conditionalFormatting>
  <conditionalFormatting sqref="O41 O46">
    <cfRule type="expression" dxfId="12" priority="46">
      <formula>$O$2&lt;6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4"/>
  <dimension ref="A1:L40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66.625" customWidth="1"/>
    <col min="3" max="3" width="11.125" customWidth="1"/>
    <col min="4" max="4" width="1.375" customWidth="1"/>
    <col min="5" max="5" width="66.625" customWidth="1"/>
    <col min="6" max="6" width="11.125" customWidth="1"/>
    <col min="7" max="7" width="1.375" customWidth="1"/>
    <col min="9" max="9" width="1.375" customWidth="1"/>
    <col min="10" max="10" width="30.625" customWidth="1"/>
    <col min="11" max="11" width="6.625" customWidth="1"/>
    <col min="12" max="12" width="1.375" customWidth="1"/>
  </cols>
  <sheetData>
    <row r="1" spans="1:12" ht="7.15" customHeight="1" x14ac:dyDescent="0.25">
      <c r="A1" s="33"/>
      <c r="B1" s="34"/>
      <c r="C1" s="34"/>
      <c r="D1" s="34"/>
      <c r="E1" s="34"/>
      <c r="F1" s="34"/>
      <c r="G1" s="36"/>
      <c r="I1" s="33"/>
      <c r="J1" s="34"/>
      <c r="K1" s="34"/>
      <c r="L1" s="36"/>
    </row>
    <row r="2" spans="1:12" ht="23.45" customHeight="1" x14ac:dyDescent="0.4">
      <c r="A2" s="37"/>
      <c r="B2" s="38" t="s">
        <v>382</v>
      </c>
      <c r="C2" s="40"/>
      <c r="D2" s="40"/>
      <c r="E2" s="32" t="s">
        <v>0</v>
      </c>
      <c r="F2" s="78">
        <f>'Aktuelle Wirtschaftsdaten'!$O$2</f>
        <v>-1</v>
      </c>
      <c r="G2" s="45"/>
      <c r="I2" s="37"/>
      <c r="J2" s="42"/>
      <c r="K2" s="42"/>
      <c r="L2" s="45"/>
    </row>
    <row r="3" spans="1:12" ht="5.95" customHeight="1" x14ac:dyDescent="0.25">
      <c r="A3" s="37"/>
      <c r="B3" s="42"/>
      <c r="C3" s="42"/>
      <c r="D3" s="42"/>
      <c r="E3" s="42"/>
      <c r="F3" s="42"/>
      <c r="G3" s="45"/>
      <c r="I3" s="37"/>
      <c r="J3" s="42"/>
      <c r="K3" s="42"/>
      <c r="L3" s="45"/>
    </row>
    <row r="4" spans="1:12" s="79" customFormat="1" ht="18" customHeight="1" x14ac:dyDescent="0.35">
      <c r="A4" s="37"/>
      <c r="B4" s="1" t="s">
        <v>1</v>
      </c>
      <c r="C4" s="6" t="s">
        <v>2</v>
      </c>
      <c r="D4" s="42"/>
      <c r="E4" s="1" t="s">
        <v>3</v>
      </c>
      <c r="F4" s="6" t="s">
        <v>2</v>
      </c>
      <c r="G4" s="45"/>
      <c r="I4" s="37"/>
      <c r="J4" s="277" t="s">
        <v>361</v>
      </c>
      <c r="K4" s="278"/>
      <c r="L4" s="45"/>
    </row>
    <row r="5" spans="1:12" x14ac:dyDescent="0.25">
      <c r="A5" s="37"/>
      <c r="B5" s="80" t="s">
        <v>4</v>
      </c>
      <c r="C5" s="81">
        <f>ErlösRechnung!$C$5</f>
        <v>64126.400000000001</v>
      </c>
      <c r="D5" s="42"/>
      <c r="E5" s="80" t="s">
        <v>4</v>
      </c>
      <c r="F5" s="82">
        <f>C5</f>
        <v>64126.400000000001</v>
      </c>
      <c r="G5" s="45"/>
      <c r="I5" s="37"/>
      <c r="J5" s="42"/>
      <c r="K5" s="42"/>
      <c r="L5" s="45"/>
    </row>
    <row r="6" spans="1:12" x14ac:dyDescent="0.25">
      <c r="A6" s="37"/>
      <c r="B6" s="80" t="s">
        <v>5</v>
      </c>
      <c r="C6" s="81">
        <f>'KostenRechnung 2'!$C$20</f>
        <v>1100.6060000000011</v>
      </c>
      <c r="D6" s="42"/>
      <c r="E6" s="83"/>
      <c r="F6" s="84"/>
      <c r="G6" s="45"/>
      <c r="I6" s="37"/>
      <c r="J6" s="42"/>
      <c r="K6" s="42"/>
      <c r="L6" s="45"/>
    </row>
    <row r="7" spans="1:12" x14ac:dyDescent="0.25">
      <c r="A7" s="37"/>
      <c r="B7" s="80" t="s">
        <v>6</v>
      </c>
      <c r="C7" s="81">
        <f>-'KostenRechnung 1'!$C$9</f>
        <v>-19416.062999999998</v>
      </c>
      <c r="D7" s="42"/>
      <c r="E7" s="80" t="s">
        <v>7</v>
      </c>
      <c r="F7" s="82">
        <f>-'KostenRechnung 2'!$C$21</f>
        <v>-47738.326000000001</v>
      </c>
      <c r="G7" s="45"/>
      <c r="I7" s="37"/>
      <c r="J7" s="42"/>
      <c r="K7" s="42"/>
      <c r="L7" s="45"/>
    </row>
    <row r="8" spans="1:12" s="90" customFormat="1" ht="15.65" customHeight="1" x14ac:dyDescent="0.3">
      <c r="A8" s="85"/>
      <c r="B8" s="86" t="s">
        <v>8</v>
      </c>
      <c r="C8" s="87">
        <f>SUM(C5:C7)</f>
        <v>45810.942999999999</v>
      </c>
      <c r="D8" s="88"/>
      <c r="E8" s="86" t="s">
        <v>9</v>
      </c>
      <c r="F8" s="87">
        <f>SUM(F5:F7)</f>
        <v>16388.074000000001</v>
      </c>
      <c r="G8" s="89"/>
      <c r="I8" s="85"/>
      <c r="J8" s="88"/>
      <c r="K8" s="88"/>
      <c r="L8" s="89"/>
    </row>
    <row r="9" spans="1:12" x14ac:dyDescent="0.25">
      <c r="A9" s="37"/>
      <c r="B9" s="80" t="s">
        <v>10</v>
      </c>
      <c r="C9" s="82">
        <f>-'KostenRechnung 1'!$C$30</f>
        <v>-24204.088</v>
      </c>
      <c r="D9" s="42"/>
      <c r="E9" s="80" t="s">
        <v>11</v>
      </c>
      <c r="F9" s="82">
        <f>-SUM('KostenRechnung 2'!$C$12:$C$13)</f>
        <v>-8117.384</v>
      </c>
      <c r="G9" s="45"/>
      <c r="I9" s="37"/>
      <c r="J9" s="42"/>
      <c r="K9" s="42"/>
      <c r="L9" s="45"/>
    </row>
    <row r="10" spans="1:12" x14ac:dyDescent="0.25">
      <c r="A10" s="37"/>
      <c r="B10" s="80" t="s">
        <v>12</v>
      </c>
      <c r="C10" s="82">
        <f>-'KostenRechnung 1'!$C$38</f>
        <v>-8484</v>
      </c>
      <c r="D10" s="42"/>
      <c r="E10" s="80" t="s">
        <v>13</v>
      </c>
      <c r="F10" s="82">
        <f>-'KostenRechnung 2'!$C$14</f>
        <v>-4183.4670000000006</v>
      </c>
      <c r="G10" s="45"/>
      <c r="I10" s="37"/>
      <c r="J10" s="42"/>
      <c r="K10" s="42"/>
      <c r="L10" s="45"/>
    </row>
    <row r="11" spans="1:12" x14ac:dyDescent="0.25">
      <c r="A11" s="37"/>
      <c r="B11" s="80" t="s">
        <v>14</v>
      </c>
      <c r="C11" s="82">
        <f>-'KostenRechnung 1'!$C$89</f>
        <v>-1005.4</v>
      </c>
      <c r="D11" s="42"/>
      <c r="E11" s="80" t="s">
        <v>14</v>
      </c>
      <c r="F11" s="82">
        <f>-'KostenRechnung 2'!$C$15</f>
        <v>-1005.4</v>
      </c>
      <c r="G11" s="45"/>
      <c r="I11" s="37"/>
      <c r="J11" s="42"/>
      <c r="K11" s="42"/>
      <c r="L11" s="45"/>
    </row>
    <row r="12" spans="1:12" x14ac:dyDescent="0.25">
      <c r="A12" s="37"/>
      <c r="B12" s="80" t="s">
        <v>15</v>
      </c>
      <c r="C12" s="81">
        <f>-'KostenRechnung 1'!C46</f>
        <v>0</v>
      </c>
      <c r="D12" s="42"/>
      <c r="E12" s="80" t="s">
        <v>15</v>
      </c>
      <c r="F12" s="81">
        <f>-'KostenRechnung 2'!$C$17</f>
        <v>0</v>
      </c>
      <c r="G12" s="45"/>
      <c r="I12" s="37"/>
      <c r="J12" s="42"/>
      <c r="K12" s="42"/>
      <c r="L12" s="45"/>
    </row>
    <row r="13" spans="1:12" x14ac:dyDescent="0.25">
      <c r="A13" s="37"/>
      <c r="B13" s="80" t="s">
        <v>16</v>
      </c>
      <c r="C13" s="82">
        <f>-('KostenRechnung 1'!$C$16+'KostenRechnung 1'!$C$23+'KostenRechnung 1'!$C$50+'KostenRechnung 1'!$C$56+'KostenRechnung 1'!$C$62+'KostenRechnung 1'!$C$75+'KostenRechnung 1'!$C$83)</f>
        <v>-9325.6319999999996</v>
      </c>
      <c r="D13" s="42"/>
      <c r="E13" s="80" t="s">
        <v>16</v>
      </c>
      <c r="F13" s="81">
        <f>-'KostenRechnung 2'!$C$16</f>
        <v>-290</v>
      </c>
      <c r="G13" s="45"/>
      <c r="H13" s="91"/>
      <c r="I13" s="37"/>
      <c r="J13" s="276"/>
      <c r="K13" s="42"/>
      <c r="L13" s="45"/>
    </row>
    <row r="14" spans="1:12" s="90" customFormat="1" ht="15.65" customHeight="1" x14ac:dyDescent="0.3">
      <c r="A14" s="37"/>
      <c r="B14" s="92" t="s">
        <v>17</v>
      </c>
      <c r="C14" s="87">
        <f>ROUND(SUM(C8:C13),3)</f>
        <v>2791.8229999999999</v>
      </c>
      <c r="D14" s="42"/>
      <c r="E14" s="92" t="s">
        <v>17</v>
      </c>
      <c r="F14" s="87">
        <f>ROUND(SUM(F8:F13),3)</f>
        <v>2791.8229999999999</v>
      </c>
      <c r="G14" s="45"/>
      <c r="I14" s="37"/>
      <c r="J14" s="260" t="s">
        <v>17</v>
      </c>
      <c r="K14" s="193">
        <f>F14</f>
        <v>2791.8229999999999</v>
      </c>
      <c r="L14" s="45"/>
    </row>
    <row r="15" spans="1:12" x14ac:dyDescent="0.25">
      <c r="A15" s="37"/>
      <c r="B15" s="42"/>
      <c r="C15" s="93"/>
      <c r="D15" s="42"/>
      <c r="E15" s="93"/>
      <c r="F15" s="94">
        <f>F14-C14</f>
        <v>0</v>
      </c>
      <c r="G15" s="45"/>
      <c r="I15" s="37"/>
      <c r="J15" s="42"/>
      <c r="K15" s="42"/>
      <c r="L15" s="45"/>
    </row>
    <row r="16" spans="1:12" x14ac:dyDescent="0.25">
      <c r="A16" s="37"/>
      <c r="B16" s="80" t="s">
        <v>18</v>
      </c>
      <c r="C16" s="81">
        <f>Finanzwerte!$C$13</f>
        <v>20.8</v>
      </c>
      <c r="D16" s="42"/>
      <c r="E16" s="42"/>
      <c r="F16" s="42"/>
      <c r="G16" s="45"/>
      <c r="I16" s="37"/>
      <c r="J16" s="261" t="s">
        <v>343</v>
      </c>
      <c r="K16" s="57">
        <f>Anlagevermögen!AC$8</f>
        <v>255</v>
      </c>
      <c r="L16" s="45"/>
    </row>
    <row r="17" spans="1:12" x14ac:dyDescent="0.25">
      <c r="A17" s="37"/>
      <c r="B17" s="80" t="s">
        <v>19</v>
      </c>
      <c r="C17" s="82">
        <f>-(Finanzwerte!$G$13+Finanzwerte!$K$13+Finanzwerte!$O$13+Finanzwerte!$S$13)</f>
        <v>-2064.3000000000002</v>
      </c>
      <c r="D17" s="42"/>
      <c r="E17" s="7"/>
      <c r="F17" s="42"/>
      <c r="G17" s="45"/>
      <c r="I17" s="37"/>
      <c r="J17" s="261" t="s">
        <v>477</v>
      </c>
      <c r="K17" s="57">
        <f>Anlagevermögen!AF$8</f>
        <v>320</v>
      </c>
      <c r="L17" s="45"/>
    </row>
    <row r="18" spans="1:12" s="90" customFormat="1" ht="15.65" customHeight="1" x14ac:dyDescent="0.3">
      <c r="A18" s="85"/>
      <c r="B18" s="86" t="s">
        <v>20</v>
      </c>
      <c r="C18" s="87">
        <f>SUM(C14:C17)</f>
        <v>748.32299999999987</v>
      </c>
      <c r="D18" s="88"/>
      <c r="E18" s="42"/>
      <c r="F18" s="42"/>
      <c r="G18" s="89"/>
      <c r="I18" s="85"/>
      <c r="J18" s="261" t="s">
        <v>344</v>
      </c>
      <c r="K18" s="57">
        <f>Anlagevermögen!AC$10</f>
        <v>-321.60000000000002</v>
      </c>
      <c r="L18" s="89"/>
    </row>
    <row r="19" spans="1:12" x14ac:dyDescent="0.25">
      <c r="A19" s="37"/>
      <c r="B19" s="80" t="s">
        <v>21</v>
      </c>
      <c r="C19" s="56">
        <v>0</v>
      </c>
      <c r="D19" s="42"/>
      <c r="E19" s="42"/>
      <c r="F19" s="42"/>
      <c r="G19" s="45"/>
      <c r="I19" s="37"/>
      <c r="J19" s="261" t="s">
        <v>345</v>
      </c>
      <c r="K19" s="57">
        <f>Anlagevermögen!AF$10</f>
        <v>-352</v>
      </c>
      <c r="L19" s="45"/>
    </row>
    <row r="20" spans="1:12" x14ac:dyDescent="0.25">
      <c r="A20" s="37"/>
      <c r="B20" s="80" t="s">
        <v>22</v>
      </c>
      <c r="C20" s="56">
        <v>0</v>
      </c>
      <c r="D20" s="42"/>
      <c r="E20" s="42"/>
      <c r="F20" s="42"/>
      <c r="G20" s="45"/>
      <c r="I20" s="37"/>
      <c r="J20" s="42"/>
      <c r="K20" s="42"/>
      <c r="L20" s="45"/>
    </row>
    <row r="21" spans="1:12" s="90" customFormat="1" ht="15.65" customHeight="1" x14ac:dyDescent="0.3">
      <c r="A21" s="85"/>
      <c r="B21" s="86" t="s">
        <v>23</v>
      </c>
      <c r="C21" s="87">
        <f>SUM(C18:C20)</f>
        <v>748.32299999999987</v>
      </c>
      <c r="D21" s="88"/>
      <c r="E21" s="42"/>
      <c r="F21" s="42"/>
      <c r="G21" s="89"/>
      <c r="I21" s="85"/>
      <c r="J21" s="260" t="s">
        <v>346</v>
      </c>
      <c r="K21" s="193">
        <f>SUM(K14:K20)</f>
        <v>2693.223</v>
      </c>
      <c r="L21" s="89"/>
    </row>
    <row r="22" spans="1:12" s="338" customFormat="1" hidden="1" x14ac:dyDescent="0.25">
      <c r="A22" s="335"/>
      <c r="B22" s="261" t="s">
        <v>468</v>
      </c>
      <c r="C22" s="262">
        <f>IF(C21&gt;0,-MIN(C21,-$F$22,-$C$36),0)</f>
        <v>0</v>
      </c>
      <c r="D22" s="336"/>
      <c r="E22" s="95" t="s">
        <v>472</v>
      </c>
      <c r="F22" s="340">
        <v>-1000</v>
      </c>
      <c r="G22" s="337"/>
      <c r="I22" s="335"/>
      <c r="J22" s="336"/>
      <c r="K22" s="336"/>
      <c r="L22" s="337"/>
    </row>
    <row r="23" spans="1:12" s="338" customFormat="1" hidden="1" x14ac:dyDescent="0.25">
      <c r="A23" s="335"/>
      <c r="B23" s="275" t="s">
        <v>469</v>
      </c>
      <c r="C23" s="193">
        <f>SUM(C21:C22)</f>
        <v>748.32299999999987</v>
      </c>
      <c r="D23" s="336"/>
      <c r="E23" s="336"/>
      <c r="F23" s="336"/>
      <c r="G23" s="337"/>
      <c r="I23" s="335"/>
      <c r="J23" s="336"/>
      <c r="K23" s="336"/>
      <c r="L23" s="337"/>
    </row>
    <row r="24" spans="1:12" s="338" customFormat="1" hidden="1" x14ac:dyDescent="0.25">
      <c r="A24" s="335"/>
      <c r="B24" s="261" t="s">
        <v>470</v>
      </c>
      <c r="C24" s="262">
        <f>IF(C23&gt;0,-MIN(-$C$36+C22,$F$24*C23),0)</f>
        <v>0</v>
      </c>
      <c r="D24" s="336"/>
      <c r="E24" s="95" t="s">
        <v>472</v>
      </c>
      <c r="F24" s="341">
        <v>0.6</v>
      </c>
      <c r="G24" s="337"/>
      <c r="I24" s="335"/>
      <c r="J24" s="336"/>
      <c r="K24" s="336"/>
      <c r="L24" s="337"/>
    </row>
    <row r="25" spans="1:12" s="338" customFormat="1" hidden="1" x14ac:dyDescent="0.25">
      <c r="A25" s="335"/>
      <c r="B25" s="275" t="s">
        <v>471</v>
      </c>
      <c r="C25" s="193">
        <f>SUM(C23:C24)</f>
        <v>748.32299999999987</v>
      </c>
      <c r="D25" s="336"/>
      <c r="E25" s="336"/>
      <c r="F25" s="336"/>
      <c r="G25" s="337"/>
      <c r="I25" s="335"/>
      <c r="J25" s="336"/>
      <c r="K25" s="336"/>
      <c r="L25" s="337"/>
    </row>
    <row r="26" spans="1:12" x14ac:dyDescent="0.25">
      <c r="A26" s="37"/>
      <c r="B26" s="80" t="s">
        <v>24</v>
      </c>
      <c r="C26" s="82">
        <f>-MAX(0,ROUNDDOWN($F$26*C25,0))</f>
        <v>-261</v>
      </c>
      <c r="D26" s="42"/>
      <c r="E26" s="95" t="s">
        <v>70</v>
      </c>
      <c r="F26" s="96">
        <f>'Aktuelle Wirtschaftsdaten'!$D$42</f>
        <v>0.35</v>
      </c>
      <c r="G26" s="45"/>
      <c r="I26" s="37"/>
      <c r="J26" s="261" t="s">
        <v>24</v>
      </c>
      <c r="K26" s="262">
        <f>-MAX(0,ROUNDDOWN($F$26*K21,0))</f>
        <v>-942</v>
      </c>
      <c r="L26" s="45"/>
    </row>
    <row r="27" spans="1:12" s="90" customFormat="1" ht="15.65" customHeight="1" x14ac:dyDescent="0.3">
      <c r="A27" s="85"/>
      <c r="B27" s="97" t="s">
        <v>25</v>
      </c>
      <c r="C27" s="98">
        <f>ROUND(C21+C26,3)</f>
        <v>487.32299999999998</v>
      </c>
      <c r="D27" s="88"/>
      <c r="E27" s="42"/>
      <c r="F27" s="42"/>
      <c r="G27" s="89"/>
      <c r="I27" s="85"/>
      <c r="J27" s="275" t="s">
        <v>347</v>
      </c>
      <c r="K27" s="193">
        <f>ROUND(SUM(K21:K26),3)</f>
        <v>1751.223</v>
      </c>
      <c r="L27" s="89"/>
    </row>
    <row r="28" spans="1:12" x14ac:dyDescent="0.25">
      <c r="A28" s="37"/>
      <c r="B28" s="42"/>
      <c r="C28" s="42"/>
      <c r="D28" s="42"/>
      <c r="E28" s="42"/>
      <c r="F28" s="42"/>
      <c r="G28" s="45"/>
      <c r="I28" s="37"/>
      <c r="J28" s="261" t="s">
        <v>348</v>
      </c>
      <c r="K28" s="57">
        <f>-(Bilanz!$J$9-Bilanz!$E$14+Anlagevermögen!$AC$7+Anlagevermögen!$AF$7)*('Aktuelle Wirtschaftsdaten'!$E$38+0.02)+GuV!C17</f>
        <v>-4492.4519999999993</v>
      </c>
      <c r="L28" s="45"/>
    </row>
    <row r="29" spans="1:12" ht="16.3" x14ac:dyDescent="0.3">
      <c r="A29" s="37"/>
      <c r="B29" s="88" t="s">
        <v>26</v>
      </c>
      <c r="C29" s="42"/>
      <c r="D29" s="42"/>
      <c r="E29" s="42"/>
      <c r="F29" s="42"/>
      <c r="G29" s="45"/>
      <c r="I29" s="37"/>
      <c r="J29" s="275" t="s">
        <v>349</v>
      </c>
      <c r="K29" s="193">
        <f>ROUND(SUM(K27:K28),3)</f>
        <v>-2741.2289999999998</v>
      </c>
      <c r="L29" s="45"/>
    </row>
    <row r="30" spans="1:12" ht="14.95" thickBot="1" x14ac:dyDescent="0.3">
      <c r="A30" s="37"/>
      <c r="B30" s="99" t="s">
        <v>27</v>
      </c>
      <c r="C30" s="82">
        <f>Bilanz!$J$7</f>
        <v>2455</v>
      </c>
      <c r="D30" s="42"/>
      <c r="E30" s="42"/>
      <c r="F30" s="42"/>
      <c r="G30" s="45"/>
      <c r="I30" s="72"/>
      <c r="J30" s="73"/>
      <c r="K30" s="73"/>
      <c r="L30" s="75"/>
    </row>
    <row r="31" spans="1:12" x14ac:dyDescent="0.25">
      <c r="A31" s="37"/>
      <c r="B31" s="80" t="s">
        <v>28</v>
      </c>
      <c r="C31" s="82">
        <f>Bilanz!$J$8</f>
        <v>145</v>
      </c>
      <c r="D31" s="42"/>
      <c r="E31" s="8"/>
      <c r="F31" s="8"/>
      <c r="G31" s="45"/>
    </row>
    <row r="32" spans="1:12" x14ac:dyDescent="0.25">
      <c r="A32" s="37"/>
      <c r="B32" s="80" t="s">
        <v>480</v>
      </c>
      <c r="C32" s="81">
        <f>MIN(0,-MIN(C30+C31,F32))</f>
        <v>0</v>
      </c>
      <c r="D32" s="42"/>
      <c r="E32" s="344" t="s">
        <v>479</v>
      </c>
      <c r="F32" s="355">
        <v>0</v>
      </c>
      <c r="G32" s="45"/>
    </row>
    <row r="33" spans="1:12" s="90" customFormat="1" ht="15.65" customHeight="1" x14ac:dyDescent="0.3">
      <c r="A33" s="85"/>
      <c r="B33" s="86" t="s">
        <v>29</v>
      </c>
      <c r="C33" s="87">
        <f>ROUND(SUM(C30:C32),3)</f>
        <v>2600</v>
      </c>
      <c r="D33" s="88"/>
      <c r="E33" s="42"/>
      <c r="F33" s="42"/>
      <c r="G33" s="89"/>
      <c r="I33"/>
      <c r="L33"/>
    </row>
    <row r="34" spans="1:12" s="338" customFormat="1" hidden="1" x14ac:dyDescent="0.25">
      <c r="A34" s="335"/>
      <c r="B34" s="336"/>
      <c r="C34" s="336"/>
      <c r="D34" s="336"/>
      <c r="E34" s="336"/>
      <c r="F34" s="336"/>
      <c r="G34" s="337"/>
    </row>
    <row r="35" spans="1:12" ht="16.3" hidden="1" x14ac:dyDescent="0.3">
      <c r="A35" s="37"/>
      <c r="B35" s="88" t="s">
        <v>473</v>
      </c>
      <c r="C35" s="42"/>
      <c r="D35" s="42"/>
      <c r="E35" s="42"/>
      <c r="F35" s="42"/>
      <c r="G35" s="45"/>
      <c r="J35" s="90"/>
      <c r="K35" s="90"/>
    </row>
    <row r="36" spans="1:12" s="338" customFormat="1" hidden="1" x14ac:dyDescent="0.25">
      <c r="A36" s="335"/>
      <c r="B36" s="191" t="s">
        <v>474</v>
      </c>
      <c r="C36" s="109">
        <v>0</v>
      </c>
      <c r="D36" s="336"/>
      <c r="E36" s="336"/>
      <c r="F36" s="336"/>
      <c r="G36" s="337"/>
    </row>
    <row r="37" spans="1:12" s="338" customFormat="1" hidden="1" x14ac:dyDescent="0.25">
      <c r="A37" s="335"/>
      <c r="B37" s="261" t="s">
        <v>476</v>
      </c>
      <c r="C37" s="262">
        <f>MIN(C27,0)</f>
        <v>0</v>
      </c>
      <c r="D37" s="336"/>
      <c r="E37" s="342"/>
      <c r="F37" s="342"/>
      <c r="G37" s="337"/>
    </row>
    <row r="38" spans="1:12" s="338" customFormat="1" hidden="1" x14ac:dyDescent="0.25">
      <c r="A38" s="335"/>
      <c r="B38" s="261" t="s">
        <v>475</v>
      </c>
      <c r="C38" s="57">
        <f>-(C22+C24)</f>
        <v>0</v>
      </c>
      <c r="D38" s="336"/>
      <c r="E38" s="342"/>
      <c r="F38" s="342"/>
      <c r="G38" s="337"/>
    </row>
    <row r="39" spans="1:12" s="338" customFormat="1" hidden="1" x14ac:dyDescent="0.25">
      <c r="A39" s="335"/>
      <c r="B39" s="339" t="s">
        <v>478</v>
      </c>
      <c r="C39" s="343">
        <f>ROUND(SUM(C36:C38),3)</f>
        <v>0</v>
      </c>
      <c r="D39" s="336"/>
      <c r="E39" s="336"/>
      <c r="F39" s="336"/>
      <c r="G39" s="337"/>
    </row>
    <row r="40" spans="1:12" ht="14.95" customHeight="1" thickBot="1" x14ac:dyDescent="0.3">
      <c r="A40" s="72"/>
      <c r="B40" s="73"/>
      <c r="C40" s="73"/>
      <c r="D40" s="73"/>
      <c r="E40" s="73"/>
      <c r="F40" s="73"/>
      <c r="G40" s="293" t="str">
        <f>'Aktuelle Wirtschaftsdaten'!$P$47</f>
        <v>MK_GMS_Pro 2.10</v>
      </c>
    </row>
  </sheetData>
  <conditionalFormatting sqref="F15">
    <cfRule type="cellIs" dxfId="11" priority="1" operator="notEqual">
      <formula>0</formula>
    </cfRule>
  </conditionalFormatting>
  <dataValidations count="1">
    <dataValidation type="whole" operator="greaterThanOrEqual" allowBlank="1" showErrorMessage="1" errorTitle="Fehleingabe" error="Feld darf nur positive ganze Zahlen enthalten." sqref="F32" xr:uid="{678E4843-F79F-41AE-9472-16BB0D0482FA}">
      <formula1>0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5"/>
  <dimension ref="A1:O35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6.625" customWidth="1"/>
    <col min="3" max="3" width="10" style="76" customWidth="1"/>
    <col min="4" max="5" width="11.125" customWidth="1"/>
    <col min="6" max="6" width="1.375" customWidth="1"/>
    <col min="7" max="7" width="46.625" customWidth="1"/>
    <col min="8" max="8" width="10" style="76" customWidth="1"/>
    <col min="9" max="10" width="11.125" customWidth="1"/>
    <col min="11" max="11" width="1.375" customWidth="1"/>
    <col min="13" max="13" width="1.375" customWidth="1"/>
    <col min="14" max="14" width="11.125" customWidth="1"/>
    <col min="15" max="15" width="1.375" customWidth="1"/>
  </cols>
  <sheetData>
    <row r="1" spans="1:15" ht="7.15" customHeight="1" x14ac:dyDescent="0.25">
      <c r="A1" s="100"/>
      <c r="B1" s="101"/>
      <c r="C1" s="102"/>
      <c r="D1" s="102"/>
      <c r="E1" s="102"/>
      <c r="F1" s="102"/>
      <c r="G1" s="102"/>
      <c r="H1" s="102"/>
      <c r="I1" s="101"/>
      <c r="J1" s="101"/>
      <c r="K1" s="103"/>
      <c r="M1" s="100"/>
      <c r="N1" s="102"/>
      <c r="O1" s="103"/>
    </row>
    <row r="2" spans="1:15" ht="23.45" customHeight="1" x14ac:dyDescent="0.4">
      <c r="A2" s="104"/>
      <c r="B2" s="38" t="s">
        <v>383</v>
      </c>
      <c r="C2" s="40"/>
      <c r="D2" s="40"/>
      <c r="E2" s="40"/>
      <c r="F2" s="40"/>
      <c r="G2" s="40"/>
      <c r="H2" s="40"/>
      <c r="I2" s="32" t="s">
        <v>0</v>
      </c>
      <c r="J2" s="78">
        <f>'Aktuelle Wirtschaftsdaten'!$O$2</f>
        <v>-1</v>
      </c>
      <c r="K2" s="105"/>
      <c r="M2" s="104"/>
      <c r="N2" s="50" t="s">
        <v>360</v>
      </c>
      <c r="O2" s="105"/>
    </row>
    <row r="3" spans="1:15" ht="5.95" customHeight="1" x14ac:dyDescent="0.4">
      <c r="A3" s="106"/>
      <c r="B3" s="42"/>
      <c r="C3" s="42"/>
      <c r="D3" s="42"/>
      <c r="E3" s="42"/>
      <c r="F3" s="42"/>
      <c r="G3" s="42"/>
      <c r="H3" s="42"/>
      <c r="I3" s="42"/>
      <c r="J3" s="42"/>
      <c r="K3" s="107"/>
      <c r="M3" s="106"/>
      <c r="N3" s="42"/>
      <c r="O3" s="107"/>
    </row>
    <row r="4" spans="1:15" s="79" customFormat="1" ht="18" customHeight="1" x14ac:dyDescent="0.35">
      <c r="A4" s="106"/>
      <c r="B4" s="10" t="s">
        <v>30</v>
      </c>
      <c r="C4" s="18"/>
      <c r="D4" s="31">
        <f>$J$2</f>
        <v>-1</v>
      </c>
      <c r="E4" s="11" t="s">
        <v>31</v>
      </c>
      <c r="F4" s="42"/>
      <c r="G4" s="1" t="s">
        <v>32</v>
      </c>
      <c r="H4" s="18"/>
      <c r="I4" s="31">
        <f>$J$2</f>
        <v>-1</v>
      </c>
      <c r="J4" s="9" t="s">
        <v>31</v>
      </c>
      <c r="K4" s="108"/>
      <c r="M4" s="106"/>
      <c r="N4" s="93">
        <f>SUM(N5:N6)</f>
        <v>0</v>
      </c>
      <c r="O4" s="108"/>
    </row>
    <row r="5" spans="1:15" x14ac:dyDescent="0.25">
      <c r="A5" s="106"/>
      <c r="B5" s="99" t="s">
        <v>33</v>
      </c>
      <c r="C5" s="53" t="s">
        <v>34</v>
      </c>
      <c r="D5" s="81">
        <f>Anlagevermögen!$C$11</f>
        <v>1373.4</v>
      </c>
      <c r="E5" s="109">
        <v>1528.8</v>
      </c>
      <c r="F5" s="42"/>
      <c r="G5" s="99" t="s">
        <v>35</v>
      </c>
      <c r="H5" s="53" t="s">
        <v>34</v>
      </c>
      <c r="I5" s="56">
        <f>J5+N5</f>
        <v>33000</v>
      </c>
      <c r="J5" s="109">
        <v>33000</v>
      </c>
      <c r="K5" s="108"/>
      <c r="M5" s="106"/>
      <c r="N5" s="274">
        <f>O5</f>
        <v>0</v>
      </c>
      <c r="O5" s="108"/>
    </row>
    <row r="6" spans="1:15" x14ac:dyDescent="0.25">
      <c r="A6" s="106"/>
      <c r="B6" s="99" t="s">
        <v>36</v>
      </c>
      <c r="C6" s="53" t="s">
        <v>34</v>
      </c>
      <c r="D6" s="81">
        <f>Anlagevermögen!$J$11</f>
        <v>30600</v>
      </c>
      <c r="E6" s="109">
        <v>31740</v>
      </c>
      <c r="F6" s="42"/>
      <c r="G6" s="99" t="s">
        <v>37</v>
      </c>
      <c r="H6" s="53" t="s">
        <v>34</v>
      </c>
      <c r="I6" s="56">
        <f>J6+N6</f>
        <v>4300</v>
      </c>
      <c r="J6" s="109">
        <v>4300</v>
      </c>
      <c r="K6" s="108"/>
      <c r="M6" s="106"/>
      <c r="N6" s="274">
        <f>O6</f>
        <v>0</v>
      </c>
      <c r="O6" s="108"/>
    </row>
    <row r="7" spans="1:15" x14ac:dyDescent="0.25">
      <c r="A7" s="106"/>
      <c r="B7" s="99" t="s">
        <v>38</v>
      </c>
      <c r="C7" s="53" t="s">
        <v>34</v>
      </c>
      <c r="D7" s="81">
        <f>Anlagevermögen!$M$11</f>
        <v>30400</v>
      </c>
      <c r="E7" s="109">
        <v>36800</v>
      </c>
      <c r="F7" s="42"/>
      <c r="G7" s="99" t="s">
        <v>39</v>
      </c>
      <c r="H7" s="53" t="s">
        <v>34</v>
      </c>
      <c r="I7" s="81">
        <f>GuV!$C$33</f>
        <v>2600</v>
      </c>
      <c r="J7" s="109">
        <v>2455</v>
      </c>
      <c r="K7" s="108"/>
      <c r="M7" s="106"/>
      <c r="N7" s="42"/>
      <c r="O7" s="108"/>
    </row>
    <row r="8" spans="1:15" x14ac:dyDescent="0.25">
      <c r="A8" s="106"/>
      <c r="B8" s="99" t="s">
        <v>40</v>
      </c>
      <c r="C8" s="53" t="s">
        <v>34</v>
      </c>
      <c r="D8" s="81">
        <f>Anlagevermögen!$X$11</f>
        <v>3934</v>
      </c>
      <c r="E8" s="109">
        <v>3958</v>
      </c>
      <c r="F8" s="42"/>
      <c r="G8" s="99" t="s">
        <v>41</v>
      </c>
      <c r="H8" s="53" t="s">
        <v>34</v>
      </c>
      <c r="I8" s="81">
        <f>GuV!$C$27</f>
        <v>487.32299999999998</v>
      </c>
      <c r="J8" s="109">
        <v>145</v>
      </c>
      <c r="K8" s="108"/>
      <c r="M8" s="106"/>
      <c r="N8" s="42"/>
      <c r="O8" s="108"/>
    </row>
    <row r="9" spans="1:15" s="90" customFormat="1" ht="15.65" customHeight="1" x14ac:dyDescent="0.3">
      <c r="A9" s="106"/>
      <c r="B9" s="110" t="s">
        <v>42</v>
      </c>
      <c r="C9" s="88"/>
      <c r="D9" s="111">
        <f>SUM(D5:D8)</f>
        <v>66307.399999999994</v>
      </c>
      <c r="E9" s="111">
        <f>SUM(E5:E8)</f>
        <v>74026.8</v>
      </c>
      <c r="F9" s="42"/>
      <c r="G9" s="112" t="s">
        <v>43</v>
      </c>
      <c r="H9" s="88"/>
      <c r="I9" s="87">
        <f>SUM(I5:I8)</f>
        <v>40387.322999999997</v>
      </c>
      <c r="J9" s="113">
        <f>SUM(J5:J8)</f>
        <v>39900</v>
      </c>
      <c r="K9" s="108"/>
      <c r="M9" s="106"/>
      <c r="N9" s="42"/>
      <c r="O9" s="108"/>
    </row>
    <row r="10" spans="1:15" x14ac:dyDescent="0.25">
      <c r="A10" s="106"/>
      <c r="B10" s="42"/>
      <c r="C10" s="42"/>
      <c r="D10" s="42"/>
      <c r="E10" s="42"/>
      <c r="F10" s="42"/>
      <c r="G10" s="42"/>
      <c r="H10" s="42"/>
      <c r="I10" s="42"/>
      <c r="J10" s="42"/>
      <c r="K10" s="108"/>
      <c r="M10" s="106"/>
      <c r="N10" s="42"/>
      <c r="O10" s="108"/>
    </row>
    <row r="11" spans="1:15" x14ac:dyDescent="0.25">
      <c r="A11" s="106"/>
      <c r="B11" s="99" t="s">
        <v>412</v>
      </c>
      <c r="C11" s="114" t="s">
        <v>34</v>
      </c>
      <c r="D11" s="81">
        <f>Vorräte!$E$10+Vorräte!$H$10+Vorräte!$K$10</f>
        <v>4381.5370000000003</v>
      </c>
      <c r="E11" s="109">
        <f>Vorräte!$E$6+Vorräte!$H$6+Vorräte!$K$6</f>
        <v>4793.6000000000004</v>
      </c>
      <c r="F11" s="42"/>
      <c r="G11" s="99" t="s">
        <v>459</v>
      </c>
      <c r="H11" s="114" t="s">
        <v>34</v>
      </c>
      <c r="I11" s="82">
        <f>Finanzwerte!$S$11-Finanzwerte!$S$12</f>
        <v>23000</v>
      </c>
      <c r="J11" s="109">
        <v>16000</v>
      </c>
      <c r="K11" s="108"/>
      <c r="M11" s="106"/>
      <c r="N11" s="42"/>
      <c r="O11" s="108"/>
    </row>
    <row r="12" spans="1:15" x14ac:dyDescent="0.25">
      <c r="A12" s="106"/>
      <c r="B12" s="99" t="s">
        <v>413</v>
      </c>
      <c r="C12" s="114" t="s">
        <v>34</v>
      </c>
      <c r="D12" s="81">
        <f>Vorräte!$E$18+Vorräte!$H$18+Vorräte!$K$18+Vorräte!$N$18</f>
        <v>2645.0060000000012</v>
      </c>
      <c r="E12" s="109">
        <f>Vorräte!$E$14+Vorräte!$H$14+Vorräte!$K$14+Vorräte!$N$14</f>
        <v>1544.4</v>
      </c>
      <c r="F12" s="42"/>
      <c r="G12" s="99" t="s">
        <v>398</v>
      </c>
      <c r="H12" s="114" t="s">
        <v>34</v>
      </c>
      <c r="I12" s="82">
        <f>Finanzwerte!$O$11-Finanzwerte!$O$12</f>
        <v>8000</v>
      </c>
      <c r="J12" s="109">
        <v>15000</v>
      </c>
      <c r="K12" s="108"/>
      <c r="M12" s="106"/>
      <c r="N12" s="42"/>
      <c r="O12" s="108"/>
    </row>
    <row r="13" spans="1:15" x14ac:dyDescent="0.25">
      <c r="A13" s="106"/>
      <c r="B13" s="99" t="s">
        <v>460</v>
      </c>
      <c r="C13" s="114" t="s">
        <v>34</v>
      </c>
      <c r="D13" s="81">
        <f>ErlösRechnung!$F$5</f>
        <v>12825.279999999999</v>
      </c>
      <c r="E13" s="109">
        <v>12491.64</v>
      </c>
      <c r="F13" s="42"/>
      <c r="G13" s="99" t="s">
        <v>399</v>
      </c>
      <c r="H13" s="114" t="s">
        <v>34</v>
      </c>
      <c r="I13" s="82">
        <f>(Finanzwerte!$O$12+Finanzwerte!$S$12)</f>
        <v>7000</v>
      </c>
      <c r="J13" s="109">
        <v>10000</v>
      </c>
      <c r="K13" s="108"/>
      <c r="M13" s="106"/>
      <c r="N13" s="42"/>
      <c r="O13" s="108"/>
    </row>
    <row r="14" spans="1:15" x14ac:dyDescent="0.25">
      <c r="A14" s="106"/>
      <c r="B14" s="99" t="s">
        <v>362</v>
      </c>
      <c r="C14" s="114" t="s">
        <v>34</v>
      </c>
      <c r="D14" s="81">
        <f>Finanzwerte!$C$11</f>
        <v>500</v>
      </c>
      <c r="E14" s="109">
        <v>800</v>
      </c>
      <c r="F14" s="42"/>
      <c r="G14" s="99" t="s">
        <v>458</v>
      </c>
      <c r="H14" s="114" t="s">
        <v>34</v>
      </c>
      <c r="I14" s="82">
        <f>Finanzwerte!$K$11</f>
        <v>11000</v>
      </c>
      <c r="J14" s="109">
        <v>14000</v>
      </c>
      <c r="K14" s="108"/>
      <c r="M14" s="106"/>
      <c r="N14" s="42"/>
      <c r="O14" s="108"/>
    </row>
    <row r="15" spans="1:15" x14ac:dyDescent="0.25">
      <c r="A15" s="106"/>
      <c r="B15" s="99" t="s">
        <v>44</v>
      </c>
      <c r="C15" s="114" t="s">
        <v>34</v>
      </c>
      <c r="D15" s="81">
        <f>LiquiditätsRechnung!$C$39</f>
        <v>2728.1</v>
      </c>
      <c r="E15" s="109">
        <v>1243.56</v>
      </c>
      <c r="F15" s="42"/>
      <c r="G15" s="99" t="s">
        <v>400</v>
      </c>
      <c r="H15" s="114" t="s">
        <v>34</v>
      </c>
      <c r="I15" s="81">
        <f>LiquiditätsRechnung!$C$16</f>
        <v>0</v>
      </c>
      <c r="J15" s="109">
        <v>0</v>
      </c>
      <c r="K15" s="108"/>
      <c r="M15" s="106"/>
      <c r="N15" s="42"/>
      <c r="O15" s="108"/>
    </row>
    <row r="16" spans="1:15" s="90" customFormat="1" ht="15.65" customHeight="1" x14ac:dyDescent="0.3">
      <c r="A16" s="106"/>
      <c r="B16" s="112" t="s">
        <v>45</v>
      </c>
      <c r="C16" s="88"/>
      <c r="D16" s="87">
        <f>SUM(D11:D15)</f>
        <v>23079.922999999999</v>
      </c>
      <c r="E16" s="113">
        <f>SUM(E11:E15)</f>
        <v>20873.2</v>
      </c>
      <c r="F16" s="42"/>
      <c r="G16" s="112" t="s">
        <v>46</v>
      </c>
      <c r="H16" s="88"/>
      <c r="I16" s="87">
        <f>SUM(I11:I15)</f>
        <v>49000</v>
      </c>
      <c r="J16" s="113">
        <f>SUM(J11:J15)</f>
        <v>55000</v>
      </c>
      <c r="K16" s="108"/>
      <c r="M16" s="106"/>
      <c r="N16" s="42"/>
      <c r="O16" s="108"/>
    </row>
    <row r="17" spans="1:15" x14ac:dyDescent="0.25">
      <c r="A17" s="106"/>
      <c r="B17" s="42"/>
      <c r="C17" s="50"/>
      <c r="D17" s="42"/>
      <c r="E17" s="42"/>
      <c r="F17" s="42"/>
      <c r="G17" s="42"/>
      <c r="H17" s="50"/>
      <c r="I17" s="42"/>
      <c r="J17" s="42"/>
      <c r="K17" s="108"/>
      <c r="M17" s="106"/>
      <c r="N17" s="42"/>
      <c r="O17" s="108"/>
    </row>
    <row r="18" spans="1:15" s="90" customFormat="1" ht="15.65" customHeight="1" x14ac:dyDescent="0.3">
      <c r="A18" s="115"/>
      <c r="B18" s="112" t="s">
        <v>47</v>
      </c>
      <c r="C18" s="88"/>
      <c r="D18" s="87">
        <f>D9+D16</f>
        <v>89387.322999999989</v>
      </c>
      <c r="E18" s="113">
        <f>E9+E16</f>
        <v>94900</v>
      </c>
      <c r="F18" s="88"/>
      <c r="G18" s="112" t="s">
        <v>47</v>
      </c>
      <c r="H18" s="88"/>
      <c r="I18" s="87">
        <f>I9+I16</f>
        <v>89387.323000000004</v>
      </c>
      <c r="J18" s="113">
        <f>J9+J16</f>
        <v>94900</v>
      </c>
      <c r="K18" s="108"/>
      <c r="M18" s="115"/>
      <c r="N18" s="42"/>
      <c r="O18" s="108"/>
    </row>
    <row r="19" spans="1:15" ht="14.95" customHeight="1" thickBot="1" x14ac:dyDescent="0.3">
      <c r="A19" s="116"/>
      <c r="B19" s="117"/>
      <c r="C19" s="118"/>
      <c r="D19" s="119">
        <f>D18-I18</f>
        <v>0</v>
      </c>
      <c r="E19" s="119">
        <f>E18-J18</f>
        <v>0</v>
      </c>
      <c r="F19" s="117"/>
      <c r="G19" s="117"/>
      <c r="H19" s="118"/>
      <c r="I19" s="117"/>
      <c r="J19" s="117"/>
      <c r="K19" s="293" t="str">
        <f>'Aktuelle Wirtschaftsdaten'!$P$47</f>
        <v>MK_GMS_Pro 2.10</v>
      </c>
      <c r="M19" s="116"/>
      <c r="N19" s="118"/>
      <c r="O19" s="120"/>
    </row>
    <row r="21" spans="1:15" x14ac:dyDescent="0.25">
      <c r="E21" s="356"/>
    </row>
    <row r="22" spans="1:15" x14ac:dyDescent="0.25">
      <c r="E22" s="356"/>
    </row>
    <row r="23" spans="1:15" x14ac:dyDescent="0.25">
      <c r="E23" s="356"/>
    </row>
    <row r="24" spans="1:15" x14ac:dyDescent="0.25">
      <c r="E24" s="356"/>
    </row>
    <row r="25" spans="1:15" x14ac:dyDescent="0.25">
      <c r="E25" s="356"/>
    </row>
    <row r="26" spans="1:15" x14ac:dyDescent="0.25">
      <c r="E26" s="356"/>
    </row>
    <row r="27" spans="1:15" x14ac:dyDescent="0.25">
      <c r="E27" s="356"/>
    </row>
    <row r="28" spans="1:15" x14ac:dyDescent="0.25">
      <c r="E28" s="356"/>
    </row>
    <row r="29" spans="1:15" x14ac:dyDescent="0.25">
      <c r="E29" s="356"/>
    </row>
    <row r="30" spans="1:15" x14ac:dyDescent="0.25">
      <c r="E30" s="356"/>
    </row>
    <row r="31" spans="1:15" x14ac:dyDescent="0.25">
      <c r="E31" s="356"/>
    </row>
    <row r="32" spans="1:15" x14ac:dyDescent="0.25">
      <c r="E32" s="356"/>
    </row>
    <row r="33" spans="5:5" x14ac:dyDescent="0.25">
      <c r="E33" s="356"/>
    </row>
    <row r="34" spans="5:5" x14ac:dyDescent="0.25">
      <c r="E34" s="356"/>
    </row>
    <row r="35" spans="5:5" x14ac:dyDescent="0.25">
      <c r="E35" s="356"/>
    </row>
  </sheetData>
  <conditionalFormatting sqref="D19:E19">
    <cfRule type="cellIs" dxfId="10" priority="2" operator="notEqual">
      <formula>0</formula>
    </cfRule>
  </conditionalFormatting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G40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66.625" customWidth="1"/>
    <col min="3" max="3" width="11.125" customWidth="1"/>
    <col min="4" max="4" width="1.375" customWidth="1"/>
    <col min="5" max="5" width="66.625" customWidth="1"/>
    <col min="6" max="6" width="11.125" customWidth="1"/>
    <col min="7" max="7" width="1.375" customWidth="1"/>
  </cols>
  <sheetData>
    <row r="1" spans="1:7" ht="7.15" customHeight="1" x14ac:dyDescent="0.25">
      <c r="A1" s="122"/>
      <c r="B1" s="123"/>
      <c r="C1" s="123"/>
      <c r="D1" s="123"/>
      <c r="E1" s="123"/>
      <c r="F1" s="124"/>
      <c r="G1" s="125"/>
    </row>
    <row r="2" spans="1:7" ht="23.45" customHeight="1" x14ac:dyDescent="0.4">
      <c r="A2" s="126"/>
      <c r="B2" s="127" t="s">
        <v>386</v>
      </c>
      <c r="C2" s="128"/>
      <c r="D2" s="128"/>
      <c r="E2" s="32" t="s">
        <v>0</v>
      </c>
      <c r="F2" s="78">
        <f>'Aktuelle Wirtschaftsdaten'!$O$2</f>
        <v>-1</v>
      </c>
      <c r="G2" s="129"/>
    </row>
    <row r="3" spans="1:7" ht="5.95" customHeight="1" x14ac:dyDescent="0.25">
      <c r="A3" s="126"/>
      <c r="B3" s="357" t="s">
        <v>215</v>
      </c>
      <c r="C3" s="130"/>
      <c r="D3" s="130"/>
      <c r="E3" s="357" t="s">
        <v>216</v>
      </c>
      <c r="F3" s="131"/>
      <c r="G3" s="132"/>
    </row>
    <row r="4" spans="1:7" ht="15.65" customHeight="1" x14ac:dyDescent="0.25">
      <c r="A4" s="126"/>
      <c r="B4" s="358"/>
      <c r="C4" s="133"/>
      <c r="D4" s="130"/>
      <c r="E4" s="358"/>
      <c r="F4" s="133"/>
      <c r="G4" s="132"/>
    </row>
    <row r="5" spans="1:7" ht="15.65" customHeight="1" x14ac:dyDescent="0.3">
      <c r="A5" s="134"/>
      <c r="B5" s="135" t="s">
        <v>217</v>
      </c>
      <c r="C5" s="136">
        <f>Bilanz!$E$15</f>
        <v>1243.56</v>
      </c>
      <c r="D5" s="137"/>
      <c r="E5" s="135" t="s">
        <v>217</v>
      </c>
      <c r="F5" s="136">
        <f>Bilanz!$E$15</f>
        <v>1243.56</v>
      </c>
      <c r="G5" s="129"/>
    </row>
    <row r="6" spans="1:7" x14ac:dyDescent="0.25">
      <c r="A6" s="126"/>
      <c r="B6" s="138"/>
      <c r="C6" s="138"/>
      <c r="D6" s="130"/>
      <c r="E6" s="138"/>
      <c r="F6" s="138"/>
      <c r="G6" s="132"/>
    </row>
    <row r="7" spans="1:7" x14ac:dyDescent="0.25">
      <c r="A7" s="134"/>
      <c r="B7" s="80" t="s">
        <v>218</v>
      </c>
      <c r="C7" s="81">
        <f>ErlösRechnung!$E$5</f>
        <v>51301.120000000003</v>
      </c>
      <c r="D7" s="137"/>
      <c r="E7" s="80" t="s">
        <v>219</v>
      </c>
      <c r="F7" s="82">
        <f>GuV!$C$27</f>
        <v>487.32299999999998</v>
      </c>
      <c r="G7" s="129"/>
    </row>
    <row r="8" spans="1:7" x14ac:dyDescent="0.25">
      <c r="A8" s="134"/>
      <c r="B8" s="80" t="s">
        <v>220</v>
      </c>
      <c r="C8" s="81">
        <f>Bilanz!$E$13</f>
        <v>12491.64</v>
      </c>
      <c r="D8" s="137"/>
      <c r="E8" s="80" t="s">
        <v>221</v>
      </c>
      <c r="F8" s="82">
        <f>-Anlagevermögen!$C$10</f>
        <v>1005.4</v>
      </c>
      <c r="G8" s="129"/>
    </row>
    <row r="9" spans="1:7" x14ac:dyDescent="0.25">
      <c r="A9" s="134"/>
      <c r="B9" s="80" t="s">
        <v>222</v>
      </c>
      <c r="C9" s="81">
        <f>Bilanz!$E$14</f>
        <v>800</v>
      </c>
      <c r="D9" s="137"/>
      <c r="E9" s="80" t="s">
        <v>223</v>
      </c>
      <c r="F9" s="82">
        <f>-GuV!C$10</f>
        <v>8484</v>
      </c>
      <c r="G9" s="129"/>
    </row>
    <row r="10" spans="1:7" x14ac:dyDescent="0.25">
      <c r="A10" s="134"/>
      <c r="B10" s="80" t="s">
        <v>224</v>
      </c>
      <c r="C10" s="81">
        <f>Anlagevermögen!$M$25</f>
        <v>0</v>
      </c>
      <c r="D10" s="137"/>
      <c r="E10" s="80" t="s">
        <v>423</v>
      </c>
      <c r="F10" s="82">
        <f>-(Bilanz!$D11-Bilanz!$E11)</f>
        <v>412.0630000000001</v>
      </c>
      <c r="G10" s="129"/>
    </row>
    <row r="11" spans="1:7" x14ac:dyDescent="0.25">
      <c r="A11" s="134"/>
      <c r="B11" s="80" t="s">
        <v>225</v>
      </c>
      <c r="C11" s="81">
        <f>Finanzwerte!$C$13</f>
        <v>20.8</v>
      </c>
      <c r="D11" s="137"/>
      <c r="E11" s="80" t="s">
        <v>226</v>
      </c>
      <c r="F11" s="82">
        <f>-(Bilanz!$D12-Bilanz!$E12)</f>
        <v>-1100.6060000000011</v>
      </c>
      <c r="G11" s="129"/>
    </row>
    <row r="12" spans="1:7" x14ac:dyDescent="0.25">
      <c r="A12" s="134"/>
      <c r="B12" s="80" t="s">
        <v>227</v>
      </c>
      <c r="C12" s="56">
        <f>(Bilanz!$I$5-Bilanz!$J$5)+(Bilanz!$I$6-Bilanz!$J$6)</f>
        <v>0</v>
      </c>
      <c r="D12" s="137"/>
      <c r="E12" s="80" t="s">
        <v>228</v>
      </c>
      <c r="F12" s="82">
        <f>-(Bilanz!$D13-Bilanz!$E13)</f>
        <v>-333.63999999999942</v>
      </c>
      <c r="G12" s="129"/>
    </row>
    <row r="13" spans="1:7" x14ac:dyDescent="0.25">
      <c r="A13" s="134"/>
      <c r="B13" s="80" t="s">
        <v>402</v>
      </c>
      <c r="C13" s="81">
        <f>Finanzwerte!$S$17</f>
        <v>7000</v>
      </c>
      <c r="D13" s="137"/>
      <c r="E13" s="80" t="s">
        <v>229</v>
      </c>
      <c r="F13" s="82">
        <f>-(Bilanz!$D14-Bilanz!$E14)</f>
        <v>300</v>
      </c>
      <c r="G13" s="129"/>
    </row>
    <row r="14" spans="1:7" x14ac:dyDescent="0.25">
      <c r="A14" s="134"/>
      <c r="B14" s="80" t="s">
        <v>401</v>
      </c>
      <c r="C14" s="81">
        <f>Finanzwerte!$O$17</f>
        <v>0</v>
      </c>
      <c r="D14" s="137"/>
      <c r="E14" s="80" t="s">
        <v>230</v>
      </c>
      <c r="F14" s="81">
        <f>-GuV!$C$12</f>
        <v>0</v>
      </c>
      <c r="G14" s="129"/>
    </row>
    <row r="15" spans="1:7" x14ac:dyDescent="0.25">
      <c r="A15" s="134"/>
      <c r="B15" s="80" t="s">
        <v>403</v>
      </c>
      <c r="C15" s="81">
        <f>Finanzwerte!$K$11</f>
        <v>11000</v>
      </c>
      <c r="D15" s="137"/>
      <c r="E15" s="80" t="s">
        <v>231</v>
      </c>
      <c r="F15" s="81">
        <f>SUM(C29:C32)</f>
        <v>-2064.2999999999997</v>
      </c>
      <c r="G15" s="129"/>
    </row>
    <row r="16" spans="1:7" ht="15.65" customHeight="1" x14ac:dyDescent="0.25">
      <c r="A16" s="134"/>
      <c r="B16" s="80" t="s">
        <v>232</v>
      </c>
      <c r="C16" s="81">
        <f>MAX((-$C$38+100),0)</f>
        <v>0</v>
      </c>
      <c r="D16" s="137"/>
      <c r="E16" s="80" t="s">
        <v>233</v>
      </c>
      <c r="F16" s="82">
        <f>-GuV!$C$16</f>
        <v>-20.8</v>
      </c>
      <c r="G16" s="129"/>
    </row>
    <row r="17" spans="1:7" ht="15.65" customHeight="1" x14ac:dyDescent="0.3">
      <c r="A17" s="134"/>
      <c r="B17" s="80" t="s">
        <v>296</v>
      </c>
      <c r="C17" s="56">
        <v>0</v>
      </c>
      <c r="D17" s="137"/>
      <c r="E17" s="86" t="s">
        <v>235</v>
      </c>
      <c r="F17" s="87">
        <f>SUM(F7:F16)</f>
        <v>7169.44</v>
      </c>
      <c r="G17" s="129"/>
    </row>
    <row r="18" spans="1:7" ht="16.3" x14ac:dyDescent="0.3">
      <c r="A18" s="134"/>
      <c r="B18" s="86" t="s">
        <v>234</v>
      </c>
      <c r="C18" s="87">
        <f>SUM(C7:C17)</f>
        <v>82613.56</v>
      </c>
      <c r="D18" s="137"/>
      <c r="E18" s="138"/>
      <c r="F18" s="138"/>
      <c r="G18" s="129"/>
    </row>
    <row r="19" spans="1:7" x14ac:dyDescent="0.25">
      <c r="A19" s="126"/>
      <c r="B19" s="138"/>
      <c r="C19" s="138"/>
      <c r="D19" s="130"/>
      <c r="E19" s="80" t="s">
        <v>224</v>
      </c>
      <c r="F19" s="81">
        <f>C10</f>
        <v>0</v>
      </c>
      <c r="G19" s="132"/>
    </row>
    <row r="20" spans="1:7" x14ac:dyDescent="0.25">
      <c r="A20" s="134"/>
      <c r="B20" s="80" t="s">
        <v>236</v>
      </c>
      <c r="C20" s="81">
        <f>-(SUM(Vorräte!$E$7:$E$8)+SUM(Vorräte!$H$7:$H$8)++SUM(Vorräte!$K$7:$K$8))</f>
        <v>-19004</v>
      </c>
      <c r="D20" s="137"/>
      <c r="E20" s="80" t="s">
        <v>238</v>
      </c>
      <c r="F20" s="81">
        <f>-Anlagevermögen!$C$8</f>
        <v>-850</v>
      </c>
      <c r="G20" s="129"/>
    </row>
    <row r="21" spans="1:7" ht="15.65" customHeight="1" x14ac:dyDescent="0.25">
      <c r="A21" s="134"/>
      <c r="B21" s="80" t="s">
        <v>237</v>
      </c>
      <c r="C21" s="82">
        <f>-Personal!$G$26</f>
        <v>-24204.088</v>
      </c>
      <c r="D21" s="137"/>
      <c r="E21" s="80" t="s">
        <v>239</v>
      </c>
      <c r="F21" s="81">
        <f>C33</f>
        <v>-920</v>
      </c>
      <c r="G21" s="129"/>
    </row>
    <row r="22" spans="1:7" x14ac:dyDescent="0.25">
      <c r="A22" s="134"/>
      <c r="B22" s="80" t="s">
        <v>261</v>
      </c>
      <c r="C22" s="82">
        <f>-Anlagevermögen!$C$8</f>
        <v>-850</v>
      </c>
      <c r="D22" s="137"/>
      <c r="E22" s="80" t="s">
        <v>225</v>
      </c>
      <c r="F22" s="82">
        <f>-F16</f>
        <v>20.8</v>
      </c>
      <c r="G22" s="129"/>
    </row>
    <row r="23" spans="1:7" ht="15.65" customHeight="1" x14ac:dyDescent="0.3">
      <c r="A23" s="134"/>
      <c r="B23" s="80" t="s">
        <v>240</v>
      </c>
      <c r="C23" s="82">
        <f>GuV!$C$13</f>
        <v>-9325.6319999999996</v>
      </c>
      <c r="D23" s="137"/>
      <c r="E23" s="86" t="s">
        <v>241</v>
      </c>
      <c r="F23" s="87">
        <f>SUM(F19:F22)</f>
        <v>-1749.2</v>
      </c>
      <c r="G23" s="129"/>
    </row>
    <row r="24" spans="1:7" x14ac:dyDescent="0.25">
      <c r="A24" s="134"/>
      <c r="B24" s="80" t="s">
        <v>489</v>
      </c>
      <c r="C24" s="81">
        <f>-Finanzwerte!$C$11</f>
        <v>-500</v>
      </c>
      <c r="D24" s="137"/>
      <c r="E24" s="138"/>
      <c r="F24" s="138"/>
      <c r="G24" s="129"/>
    </row>
    <row r="25" spans="1:7" x14ac:dyDescent="0.25">
      <c r="A25" s="134"/>
      <c r="B25" s="80" t="s">
        <v>490</v>
      </c>
      <c r="C25" s="81">
        <f>-Finanzwerte!$T$12</f>
        <v>-10000</v>
      </c>
      <c r="D25" s="139"/>
      <c r="E25" s="80" t="s">
        <v>227</v>
      </c>
      <c r="F25" s="81">
        <f>C12</f>
        <v>0</v>
      </c>
      <c r="G25" s="132"/>
    </row>
    <row r="26" spans="1:7" x14ac:dyDescent="0.25">
      <c r="A26" s="134"/>
      <c r="B26" s="80" t="s">
        <v>491</v>
      </c>
      <c r="C26" s="81">
        <f>-Finanzwerte!$P$12</f>
        <v>0</v>
      </c>
      <c r="D26" s="137"/>
      <c r="E26" s="80" t="s">
        <v>242</v>
      </c>
      <c r="F26" s="82">
        <f>GuV!$C$32</f>
        <v>0</v>
      </c>
      <c r="G26" s="129"/>
    </row>
    <row r="27" spans="1:7" ht="15.65" customHeight="1" x14ac:dyDescent="0.25">
      <c r="A27" s="134"/>
      <c r="B27" s="80" t="s">
        <v>461</v>
      </c>
      <c r="C27" s="81">
        <f>-Bilanz!$J$14</f>
        <v>-14000</v>
      </c>
      <c r="D27" s="137"/>
      <c r="E27" s="80" t="s">
        <v>244</v>
      </c>
      <c r="F27" s="81">
        <f>SUM(C13:C16)+SUM(C25:C28)</f>
        <v>-6000</v>
      </c>
      <c r="G27" s="129"/>
    </row>
    <row r="28" spans="1:7" ht="15.65" customHeight="1" x14ac:dyDescent="0.25">
      <c r="A28" s="134"/>
      <c r="B28" s="80" t="s">
        <v>243</v>
      </c>
      <c r="C28" s="81">
        <f>-Bilanz!$J$15</f>
        <v>0</v>
      </c>
      <c r="D28" s="137"/>
      <c r="E28" s="80" t="s">
        <v>245</v>
      </c>
      <c r="F28" s="81">
        <f>-F15</f>
        <v>2064.2999999999997</v>
      </c>
      <c r="G28" s="129"/>
    </row>
    <row r="29" spans="1:7" ht="15.65" customHeight="1" x14ac:dyDescent="0.3">
      <c r="A29" s="134"/>
      <c r="B29" s="80" t="s">
        <v>406</v>
      </c>
      <c r="C29" s="81">
        <f>-Finanzwerte!$S$13</f>
        <v>-1090.8</v>
      </c>
      <c r="D29" s="137"/>
      <c r="E29" s="86" t="s">
        <v>246</v>
      </c>
      <c r="F29" s="87">
        <f>SUM(F25:F28)</f>
        <v>-3935.7000000000003</v>
      </c>
      <c r="G29" s="129"/>
    </row>
    <row r="30" spans="1:7" x14ac:dyDescent="0.25">
      <c r="A30" s="134"/>
      <c r="B30" s="80" t="s">
        <v>376</v>
      </c>
      <c r="C30" s="81">
        <f>-Finanzwerte!$O$13</f>
        <v>-533.9</v>
      </c>
      <c r="D30" s="137"/>
      <c r="E30" s="138"/>
      <c r="F30" s="140"/>
      <c r="G30" s="129"/>
    </row>
    <row r="31" spans="1:7" ht="15.65" customHeight="1" x14ac:dyDescent="0.3">
      <c r="A31" s="134"/>
      <c r="B31" s="80" t="s">
        <v>407</v>
      </c>
      <c r="C31" s="81">
        <f>-Finanzwerte!$K$13</f>
        <v>-439.6</v>
      </c>
      <c r="D31" s="139"/>
      <c r="E31" s="135" t="s">
        <v>248</v>
      </c>
      <c r="F31" s="136">
        <f>ROUND(F$5+F$17+F$23+F$29,3)</f>
        <v>2728.1</v>
      </c>
      <c r="G31" s="132"/>
    </row>
    <row r="32" spans="1:7" x14ac:dyDescent="0.25">
      <c r="A32" s="134"/>
      <c r="B32" s="80" t="s">
        <v>247</v>
      </c>
      <c r="C32" s="81">
        <f>-Finanzwerte!$G$13</f>
        <v>0</v>
      </c>
      <c r="D32" s="137"/>
      <c r="E32" s="131"/>
      <c r="F32" s="141">
        <f>F31-C39</f>
        <v>0</v>
      </c>
      <c r="G32" s="129"/>
    </row>
    <row r="33" spans="1:7" x14ac:dyDescent="0.25">
      <c r="A33" s="134"/>
      <c r="B33" s="80" t="s">
        <v>239</v>
      </c>
      <c r="C33" s="81">
        <f>-(Anlagevermögen!$J$8+Anlagevermögen!$M$8+Anlagevermögen!$X$8)</f>
        <v>-920</v>
      </c>
      <c r="D33" s="139"/>
      <c r="E33" s="130"/>
      <c r="F33" s="130"/>
      <c r="G33" s="132"/>
    </row>
    <row r="34" spans="1:7" x14ac:dyDescent="0.25">
      <c r="A34" s="134"/>
      <c r="B34" s="80" t="s">
        <v>242</v>
      </c>
      <c r="C34" s="82">
        <f>GuV!$C$32</f>
        <v>0</v>
      </c>
      <c r="D34" s="139"/>
      <c r="E34" s="142"/>
      <c r="F34" s="130"/>
      <c r="G34" s="132"/>
    </row>
    <row r="35" spans="1:7" ht="15.65" customHeight="1" x14ac:dyDescent="0.25">
      <c r="A35" s="134"/>
      <c r="B35" s="80" t="s">
        <v>249</v>
      </c>
      <c r="C35" s="82">
        <f>GuV!$C$26</f>
        <v>-261</v>
      </c>
      <c r="D35" s="139"/>
      <c r="E35" s="130"/>
      <c r="F35" s="130"/>
      <c r="G35" s="132"/>
    </row>
    <row r="36" spans="1:7" ht="15.65" customHeight="1" x14ac:dyDescent="0.25">
      <c r="A36" s="134"/>
      <c r="B36" s="80" t="s">
        <v>250</v>
      </c>
      <c r="C36" s="56">
        <v>0</v>
      </c>
      <c r="D36" s="139"/>
      <c r="E36" s="130"/>
      <c r="F36" s="130"/>
      <c r="G36" s="132"/>
    </row>
    <row r="37" spans="1:7" ht="16.3" x14ac:dyDescent="0.3">
      <c r="A37" s="134"/>
      <c r="B37" s="86" t="s">
        <v>251</v>
      </c>
      <c r="C37" s="87">
        <f>SUM(C20:C36)</f>
        <v>-81129.02</v>
      </c>
      <c r="D37" s="139"/>
      <c r="E37" s="130"/>
      <c r="F37" s="130"/>
      <c r="G37" s="132"/>
    </row>
    <row r="38" spans="1:7" ht="15.65" customHeight="1" x14ac:dyDescent="0.25">
      <c r="A38" s="126"/>
      <c r="B38" s="138"/>
      <c r="C38" s="140">
        <f>C$5+SUM(C$7:C$15)+SUM(C$20:C$36)</f>
        <v>2728.0999999999913</v>
      </c>
      <c r="D38" s="130"/>
      <c r="E38" s="130"/>
      <c r="F38" s="130"/>
      <c r="G38" s="132"/>
    </row>
    <row r="39" spans="1:7" ht="16.3" x14ac:dyDescent="0.3">
      <c r="A39" s="134"/>
      <c r="B39" s="135" t="s">
        <v>248</v>
      </c>
      <c r="C39" s="136">
        <f>ROUND(C$5+C$18+C$37,3)</f>
        <v>2728.1</v>
      </c>
      <c r="D39" s="139"/>
      <c r="E39" s="130"/>
      <c r="F39" s="130"/>
      <c r="G39" s="132"/>
    </row>
    <row r="40" spans="1:7" ht="14.95" thickBot="1" x14ac:dyDescent="0.3">
      <c r="A40" s="143"/>
      <c r="B40" s="144"/>
      <c r="C40" s="144"/>
      <c r="D40" s="145"/>
      <c r="E40" s="145"/>
      <c r="F40" s="145"/>
      <c r="G40" s="293" t="str">
        <f>'Aktuelle Wirtschaftsdaten'!$P$47</f>
        <v>MK_GMS_Pro 2.10</v>
      </c>
    </row>
  </sheetData>
  <mergeCells count="2">
    <mergeCell ref="B3:B4"/>
    <mergeCell ref="E3:E4"/>
  </mergeCells>
  <conditionalFormatting sqref="F32">
    <cfRule type="cellIs" dxfId="9" priority="1" operator="notEqual">
      <formula>0</formula>
    </cfRule>
  </conditionalFormatting>
  <pageMargins left="0.7" right="0.7" top="0.78740157499999996" bottom="0.78740157499999996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795-A0D2-4521-A980-297F2CA2155F}">
  <dimension ref="A1:R32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75" customWidth="1"/>
    <col min="3" max="3" width="11.125" customWidth="1"/>
    <col min="4" max="4" width="6.625" customWidth="1"/>
    <col min="5" max="7" width="11.125" customWidth="1"/>
    <col min="8" max="8" width="1.375" customWidth="1"/>
    <col min="9" max="9" width="35.5" customWidth="1"/>
    <col min="10" max="12" width="11.125" customWidth="1"/>
    <col min="13" max="13" width="1.375" customWidth="1"/>
  </cols>
  <sheetData>
    <row r="1" spans="1:13" ht="7.15" customHeight="1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6"/>
    </row>
    <row r="2" spans="1:13" ht="23.45" customHeight="1" x14ac:dyDescent="0.4">
      <c r="A2" s="37"/>
      <c r="B2" s="38" t="s">
        <v>269</v>
      </c>
      <c r="C2" s="38"/>
      <c r="D2" s="38"/>
      <c r="E2" s="38"/>
      <c r="F2" s="38"/>
      <c r="G2" s="38"/>
      <c r="H2" s="38"/>
      <c r="I2" s="38" t="s">
        <v>295</v>
      </c>
      <c r="J2" s="40"/>
      <c r="K2" s="32"/>
      <c r="L2" s="78">
        <f>'Aktuelle Wirtschaftsdaten'!$O$2</f>
        <v>-1</v>
      </c>
      <c r="M2" s="45"/>
    </row>
    <row r="3" spans="1:13" ht="5.95" customHeight="1" x14ac:dyDescent="0.25">
      <c r="A3" s="37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5"/>
    </row>
    <row r="4" spans="1:13" x14ac:dyDescent="0.25">
      <c r="A4" s="37"/>
      <c r="B4" s="42"/>
      <c r="C4" s="146" t="s">
        <v>99</v>
      </c>
      <c r="D4" s="13" t="s">
        <v>100</v>
      </c>
      <c r="E4" s="147" t="s">
        <v>101</v>
      </c>
      <c r="F4" s="147" t="s">
        <v>102</v>
      </c>
      <c r="G4" s="42"/>
      <c r="H4" s="42"/>
      <c r="I4" s="42"/>
      <c r="J4" s="42"/>
      <c r="K4" s="42"/>
      <c r="L4" s="42"/>
      <c r="M4" s="45"/>
    </row>
    <row r="5" spans="1:13" x14ac:dyDescent="0.25">
      <c r="A5" s="37"/>
      <c r="B5" s="148" t="s">
        <v>94</v>
      </c>
      <c r="C5" s="149">
        <f>C7+C20</f>
        <v>64126.400000000001</v>
      </c>
      <c r="D5" s="150">
        <f>'Aktuelle Wirtschaftsdaten'!$E$41</f>
        <v>0.8</v>
      </c>
      <c r="E5" s="149">
        <f>ROUND($D$5*C5,3)</f>
        <v>51301.120000000003</v>
      </c>
      <c r="F5" s="149">
        <f>C5-E5</f>
        <v>12825.279999999999</v>
      </c>
      <c r="G5" s="42"/>
      <c r="H5" s="42"/>
      <c r="I5" s="42"/>
      <c r="J5" s="42"/>
      <c r="K5" s="42"/>
      <c r="L5" s="42"/>
      <c r="M5" s="45"/>
    </row>
    <row r="6" spans="1:13" x14ac:dyDescent="0.25">
      <c r="A6" s="37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5"/>
    </row>
    <row r="7" spans="1:13" ht="14.45" customHeight="1" x14ac:dyDescent="0.25">
      <c r="A7" s="37"/>
      <c r="B7" s="42"/>
      <c r="C7" s="151">
        <f>SUM(C10:C12)</f>
        <v>64126.400000000001</v>
      </c>
      <c r="D7" s="152"/>
      <c r="E7" s="153">
        <f>SUM(E10:E12)</f>
        <v>40079</v>
      </c>
      <c r="F7" s="42"/>
      <c r="G7" s="42"/>
      <c r="H7" s="42"/>
      <c r="I7" s="42"/>
      <c r="J7" s="42"/>
      <c r="K7" s="42"/>
      <c r="L7" s="42"/>
      <c r="M7" s="45"/>
    </row>
    <row r="8" spans="1:13" ht="14.45" customHeight="1" x14ac:dyDescent="0.25">
      <c r="A8" s="37"/>
      <c r="B8" s="283" t="s">
        <v>305</v>
      </c>
      <c r="C8" s="154" t="s">
        <v>99</v>
      </c>
      <c r="D8" s="155"/>
      <c r="E8" s="146" t="s">
        <v>103</v>
      </c>
      <c r="F8" s="359" t="s">
        <v>104</v>
      </c>
      <c r="G8" s="360"/>
      <c r="H8" s="42"/>
      <c r="I8" s="284" t="s">
        <v>305</v>
      </c>
      <c r="J8" s="146" t="s">
        <v>94</v>
      </c>
      <c r="K8" s="146" t="s">
        <v>272</v>
      </c>
      <c r="L8" s="146" t="s">
        <v>273</v>
      </c>
      <c r="M8" s="45"/>
    </row>
    <row r="9" spans="1:13" ht="14.45" customHeight="1" x14ac:dyDescent="0.25">
      <c r="A9" s="37"/>
      <c r="B9" s="283"/>
      <c r="C9" s="3" t="s">
        <v>34</v>
      </c>
      <c r="D9" s="3" t="s">
        <v>65</v>
      </c>
      <c r="E9" s="3" t="s">
        <v>55</v>
      </c>
      <c r="F9" s="3" t="s">
        <v>52</v>
      </c>
      <c r="G9" s="3" t="s">
        <v>105</v>
      </c>
      <c r="H9" s="42"/>
      <c r="I9" s="284"/>
      <c r="J9" s="3" t="s">
        <v>55</v>
      </c>
      <c r="K9" s="3" t="s">
        <v>55</v>
      </c>
      <c r="L9" s="3" t="s">
        <v>55</v>
      </c>
      <c r="M9" s="45"/>
    </row>
    <row r="10" spans="1:13" x14ac:dyDescent="0.25">
      <c r="A10" s="37"/>
      <c r="B10" s="156" t="s">
        <v>106</v>
      </c>
      <c r="C10" s="99">
        <f>ROUND(E10*F10/1000,3)</f>
        <v>64126.400000000001</v>
      </c>
      <c r="D10" s="158"/>
      <c r="E10" s="54">
        <v>40079</v>
      </c>
      <c r="F10" s="54">
        <v>1600</v>
      </c>
      <c r="G10" s="159"/>
      <c r="H10" s="42"/>
      <c r="I10" s="148" t="s">
        <v>310</v>
      </c>
      <c r="J10" s="99">
        <f>SUM(K10:L10)</f>
        <v>40079</v>
      </c>
      <c r="K10" s="99">
        <f>$E$10+$E$12</f>
        <v>40079</v>
      </c>
      <c r="L10" s="99">
        <f>$E$11</f>
        <v>0</v>
      </c>
      <c r="M10" s="45"/>
    </row>
    <row r="11" spans="1:13" x14ac:dyDescent="0.25">
      <c r="A11" s="37"/>
      <c r="B11" s="63" t="s">
        <v>107</v>
      </c>
      <c r="C11" s="99">
        <f t="shared" ref="C11:C12" si="0">ROUND(E11*F11/1000,3)</f>
        <v>0</v>
      </c>
      <c r="D11" s="161">
        <f>'Aktuelle Wirtschaftsdaten'!$E$40</f>
        <v>1.45</v>
      </c>
      <c r="E11" s="54">
        <v>0</v>
      </c>
      <c r="F11" s="149">
        <f>D11*G11</f>
        <v>0</v>
      </c>
      <c r="G11" s="162">
        <v>0</v>
      </c>
      <c r="H11" s="42"/>
      <c r="I11" s="148" t="s">
        <v>274</v>
      </c>
      <c r="J11" s="99">
        <f>SUM(K11:L11)</f>
        <v>1300</v>
      </c>
      <c r="K11" s="160">
        <f>Vorräte!$C$14</f>
        <v>1300</v>
      </c>
      <c r="L11" s="160">
        <f>Vorräte!$F$14</f>
        <v>0</v>
      </c>
      <c r="M11" s="45"/>
    </row>
    <row r="12" spans="1:13" x14ac:dyDescent="0.25">
      <c r="A12" s="37"/>
      <c r="B12" s="163" t="s">
        <v>50</v>
      </c>
      <c r="C12" s="99">
        <f t="shared" si="0"/>
        <v>0</v>
      </c>
      <c r="D12" s="158"/>
      <c r="E12" s="54">
        <v>0</v>
      </c>
      <c r="F12" s="149">
        <f>'Aktuelle Wirtschaftsdaten'!O29</f>
        <v>0</v>
      </c>
      <c r="G12" s="159"/>
      <c r="H12" s="42"/>
      <c r="I12" s="148" t="s">
        <v>275</v>
      </c>
      <c r="J12" s="160">
        <f>Fertigung!$D$6</f>
        <v>41000</v>
      </c>
      <c r="K12" s="149">
        <f>J12</f>
        <v>41000</v>
      </c>
      <c r="L12" s="42"/>
      <c r="M12" s="45"/>
    </row>
    <row r="13" spans="1:13" x14ac:dyDescent="0.25">
      <c r="A13" s="37"/>
      <c r="B13" s="42"/>
      <c r="C13" s="42"/>
      <c r="D13" s="42"/>
      <c r="E13" s="42"/>
      <c r="F13" s="42"/>
      <c r="G13" s="159"/>
      <c r="H13" s="42"/>
      <c r="I13" s="148" t="s">
        <v>276</v>
      </c>
      <c r="J13" s="99">
        <f>SUM(K13:L13)</f>
        <v>0</v>
      </c>
      <c r="K13" s="149">
        <f>-L13</f>
        <v>0</v>
      </c>
      <c r="L13" s="54">
        <v>0</v>
      </c>
      <c r="M13" s="45"/>
    </row>
    <row r="14" spans="1:13" x14ac:dyDescent="0.25">
      <c r="A14" s="37"/>
      <c r="B14" s="42"/>
      <c r="C14" s="42"/>
      <c r="D14" s="42"/>
      <c r="E14" s="42"/>
      <c r="F14" s="42"/>
      <c r="G14" s="159"/>
      <c r="H14" s="42"/>
      <c r="I14" s="148" t="s">
        <v>277</v>
      </c>
      <c r="J14" s="99">
        <f>SUM(K14:L14)</f>
        <v>42300</v>
      </c>
      <c r="K14" s="99">
        <f>SUM(K11:K13)</f>
        <v>42300</v>
      </c>
      <c r="L14" s="99">
        <f>SUM(L11:L13)</f>
        <v>0</v>
      </c>
      <c r="M14" s="45"/>
    </row>
    <row r="15" spans="1:13" x14ac:dyDescent="0.25">
      <c r="A15" s="37"/>
      <c r="B15" s="42"/>
      <c r="C15" s="42"/>
      <c r="D15" s="42"/>
      <c r="E15" s="42"/>
      <c r="F15" s="42"/>
      <c r="G15" s="159"/>
      <c r="H15" s="42"/>
      <c r="I15" s="42"/>
      <c r="J15" s="29" t="str">
        <f>IF(J10&gt;J14,"Engpass","OK")</f>
        <v>OK</v>
      </c>
      <c r="K15" s="29" t="str">
        <f>IF(K10&gt;K14,"Engpass","OK")</f>
        <v>OK</v>
      </c>
      <c r="L15" s="29" t="str">
        <f>IF(L10&gt;L14,"Engpass","OK")</f>
        <v>OK</v>
      </c>
      <c r="M15" s="45"/>
    </row>
    <row r="16" spans="1:13" x14ac:dyDescent="0.25">
      <c r="A16" s="37"/>
      <c r="B16" s="42"/>
      <c r="C16" s="42"/>
      <c r="D16" s="42"/>
      <c r="E16" s="42"/>
      <c r="F16" s="42"/>
      <c r="G16" s="159"/>
      <c r="H16" s="42"/>
      <c r="I16" s="148" t="s">
        <v>278</v>
      </c>
      <c r="J16" s="42"/>
      <c r="K16" s="164">
        <f>IF(($K14-$K10)*($L14-$L10)&lt;0,IF((K14-K10)&gt;0,-L16,K10-K14),0)</f>
        <v>0</v>
      </c>
      <c r="L16" s="164">
        <f>IF(($K14-$K10)*($L14-$L10)&lt;0,IF((L14-L10)&gt;0,-K16,L10-L14),0)</f>
        <v>0</v>
      </c>
      <c r="M16" s="45"/>
    </row>
    <row r="17" spans="1:18" x14ac:dyDescent="0.25">
      <c r="A17" s="37"/>
      <c r="B17" s="42"/>
      <c r="C17" s="42"/>
      <c r="D17" s="42"/>
      <c r="E17" s="42"/>
      <c r="F17" s="42"/>
      <c r="G17" s="159"/>
      <c r="H17" s="42"/>
      <c r="I17" s="148" t="s">
        <v>277</v>
      </c>
      <c r="J17" s="99">
        <f>J14+J16</f>
        <v>42300</v>
      </c>
      <c r="K17" s="99">
        <f>K14+K16</f>
        <v>42300</v>
      </c>
      <c r="L17" s="99">
        <f>L14+L16</f>
        <v>0</v>
      </c>
      <c r="M17" s="45"/>
    </row>
    <row r="18" spans="1:18" x14ac:dyDescent="0.25">
      <c r="A18" s="37"/>
      <c r="B18" s="42"/>
      <c r="C18" s="42"/>
      <c r="D18" s="42"/>
      <c r="E18" s="42"/>
      <c r="F18" s="42"/>
      <c r="G18" s="159"/>
      <c r="H18" s="42"/>
      <c r="I18" s="42"/>
      <c r="J18" s="29" t="str">
        <f>IF(J10&gt;J17,"Engpass","OK")</f>
        <v>OK</v>
      </c>
      <c r="K18" s="29" t="str">
        <f>IF(K10&gt;K17,"Engpass","OK")</f>
        <v>OK</v>
      </c>
      <c r="L18" s="29" t="str">
        <f>IF(L10&gt;L17,"Engpass","OK")</f>
        <v>OK</v>
      </c>
      <c r="M18" s="45"/>
    </row>
    <row r="19" spans="1:18" ht="14.45" customHeight="1" x14ac:dyDescent="0.25">
      <c r="A19" s="37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5"/>
    </row>
    <row r="20" spans="1:18" ht="14.45" customHeight="1" x14ac:dyDescent="0.25">
      <c r="A20" s="37"/>
      <c r="B20" s="283"/>
      <c r="C20" s="153">
        <f>SUM(C23:C24)</f>
        <v>0</v>
      </c>
      <c r="D20" s="152"/>
      <c r="E20" s="151">
        <f>SUM(E23:E24)</f>
        <v>0</v>
      </c>
      <c r="F20" s="42"/>
      <c r="G20" s="42"/>
      <c r="H20" s="42"/>
      <c r="I20" s="42"/>
      <c r="J20" s="42"/>
      <c r="K20" s="42"/>
      <c r="L20" s="42"/>
      <c r="M20" s="45"/>
    </row>
    <row r="21" spans="1:18" ht="14.95" customHeight="1" x14ac:dyDescent="0.25">
      <c r="A21" s="37"/>
      <c r="B21" s="283" t="s">
        <v>61</v>
      </c>
      <c r="C21" s="154" t="s">
        <v>99</v>
      </c>
      <c r="D21" s="155"/>
      <c r="E21" s="146" t="s">
        <v>103</v>
      </c>
      <c r="F21" s="359" t="s">
        <v>104</v>
      </c>
      <c r="G21" s="360"/>
      <c r="H21" s="42"/>
      <c r="I21" s="284" t="s">
        <v>61</v>
      </c>
      <c r="J21" s="146" t="s">
        <v>94</v>
      </c>
      <c r="K21" s="146" t="s">
        <v>272</v>
      </c>
      <c r="L21" s="146" t="s">
        <v>273</v>
      </c>
      <c r="M21" s="45"/>
    </row>
    <row r="22" spans="1:18" ht="14.45" customHeight="1" x14ac:dyDescent="0.25">
      <c r="A22" s="37"/>
      <c r="B22" s="283"/>
      <c r="C22" s="3" t="s">
        <v>34</v>
      </c>
      <c r="D22" s="15"/>
      <c r="E22" s="3" t="s">
        <v>55</v>
      </c>
      <c r="F22" s="3" t="s">
        <v>52</v>
      </c>
      <c r="G22" s="14" t="s">
        <v>105</v>
      </c>
      <c r="H22" s="42"/>
      <c r="I22" s="285"/>
      <c r="J22" s="3" t="s">
        <v>55</v>
      </c>
      <c r="K22" s="3" t="s">
        <v>55</v>
      </c>
      <c r="L22" s="3" t="s">
        <v>55</v>
      </c>
      <c r="M22" s="45"/>
    </row>
    <row r="23" spans="1:18" x14ac:dyDescent="0.25">
      <c r="A23" s="37"/>
      <c r="B23" s="165" t="s">
        <v>108</v>
      </c>
      <c r="C23" s="157">
        <f>ROUND(E23*F23/1000,3)</f>
        <v>0</v>
      </c>
      <c r="D23" s="158"/>
      <c r="E23" s="56">
        <v>0</v>
      </c>
      <c r="F23" s="54">
        <v>0</v>
      </c>
      <c r="G23" s="159"/>
      <c r="H23" s="42"/>
      <c r="I23" s="148" t="s">
        <v>279</v>
      </c>
      <c r="J23" s="99">
        <f>SUM(K23:L23)</f>
        <v>0</v>
      </c>
      <c r="K23" s="99">
        <f>$E$23</f>
        <v>0</v>
      </c>
      <c r="L23" s="99">
        <f>$E$24</f>
        <v>0</v>
      </c>
      <c r="M23" s="45"/>
    </row>
    <row r="24" spans="1:18" x14ac:dyDescent="0.25">
      <c r="A24" s="37"/>
      <c r="B24" s="63" t="s">
        <v>109</v>
      </c>
      <c r="C24" s="157">
        <f>ROUND(E24*F24/1000,3)</f>
        <v>0</v>
      </c>
      <c r="D24" s="161">
        <f>$D$11</f>
        <v>1.45</v>
      </c>
      <c r="E24" s="56">
        <v>0</v>
      </c>
      <c r="F24" s="149">
        <f>D24*G24</f>
        <v>0</v>
      </c>
      <c r="G24" s="162">
        <v>0</v>
      </c>
      <c r="H24" s="42"/>
      <c r="I24" s="148" t="s">
        <v>280</v>
      </c>
      <c r="J24" s="99">
        <f>SUM(K24:L24)</f>
        <v>0</v>
      </c>
      <c r="K24" s="160">
        <f>Vorräte!$I$14</f>
        <v>0</v>
      </c>
      <c r="L24" s="160">
        <f>Vorräte!$L$14</f>
        <v>0</v>
      </c>
      <c r="M24" s="45"/>
    </row>
    <row r="25" spans="1:18" x14ac:dyDescent="0.25">
      <c r="A25" s="37"/>
      <c r="B25" s="42"/>
      <c r="C25" s="42"/>
      <c r="D25" s="42"/>
      <c r="E25" s="42"/>
      <c r="F25" s="42"/>
      <c r="G25" s="42"/>
      <c r="H25" s="42"/>
      <c r="I25" s="148" t="s">
        <v>275</v>
      </c>
      <c r="J25" s="160">
        <f>Fertigung!$E$6</f>
        <v>0</v>
      </c>
      <c r="K25" s="149">
        <f>J25</f>
        <v>0</v>
      </c>
      <c r="L25" s="42"/>
      <c r="M25" s="45"/>
    </row>
    <row r="26" spans="1:18" x14ac:dyDescent="0.25">
      <c r="A26" s="37"/>
      <c r="B26" s="42"/>
      <c r="C26" s="42"/>
      <c r="D26" s="42"/>
      <c r="E26" s="42"/>
      <c r="F26" s="42"/>
      <c r="G26" s="42"/>
      <c r="H26" s="42"/>
      <c r="I26" s="148" t="s">
        <v>276</v>
      </c>
      <c r="J26" s="99">
        <f>SUM(K26:L26)</f>
        <v>0</v>
      </c>
      <c r="K26" s="149">
        <f>-L26</f>
        <v>0</v>
      </c>
      <c r="L26" s="54">
        <v>0</v>
      </c>
      <c r="M26" s="45"/>
    </row>
    <row r="27" spans="1:18" x14ac:dyDescent="0.25">
      <c r="A27" s="37"/>
      <c r="B27" s="42"/>
      <c r="C27" s="42"/>
      <c r="D27" s="42"/>
      <c r="E27" s="42"/>
      <c r="F27" s="42"/>
      <c r="G27" s="42"/>
      <c r="H27" s="42"/>
      <c r="I27" s="148" t="s">
        <v>277</v>
      </c>
      <c r="J27" s="99">
        <f>SUM(K27:L27)</f>
        <v>0</v>
      </c>
      <c r="K27" s="99">
        <f>SUM(K24:K26)</f>
        <v>0</v>
      </c>
      <c r="L27" s="99">
        <f>SUM(L24:L26)</f>
        <v>0</v>
      </c>
      <c r="M27" s="45"/>
    </row>
    <row r="28" spans="1:18" x14ac:dyDescent="0.25">
      <c r="A28" s="37"/>
      <c r="B28" s="42"/>
      <c r="C28" s="42"/>
      <c r="D28" s="42"/>
      <c r="E28" s="42"/>
      <c r="F28" s="42"/>
      <c r="G28" s="42"/>
      <c r="H28" s="42"/>
      <c r="I28" s="42"/>
      <c r="J28" s="30" t="str">
        <f>IF(J23&gt;J27,"Engpass","OK")</f>
        <v>OK</v>
      </c>
      <c r="K28" s="29" t="str">
        <f>IF(K23&gt;K27,"Engpass","OK")</f>
        <v>OK</v>
      </c>
      <c r="L28" s="29" t="str">
        <f>IF(L23&gt;L27,"Engpass","OK")</f>
        <v>OK</v>
      </c>
      <c r="M28" s="45"/>
    </row>
    <row r="29" spans="1:18" x14ac:dyDescent="0.25">
      <c r="A29" s="37"/>
      <c r="B29" s="42"/>
      <c r="C29" s="42"/>
      <c r="D29" s="42"/>
      <c r="E29" s="42"/>
      <c r="F29" s="42"/>
      <c r="G29" s="42"/>
      <c r="H29" s="42"/>
      <c r="I29" s="148" t="s">
        <v>278</v>
      </c>
      <c r="J29" s="42"/>
      <c r="K29" s="164">
        <f>IF(($K27-$K23)*($L27-$L23)&lt;0,IF((K27-K23)&gt;0,-L29,K23-K27),0)</f>
        <v>0</v>
      </c>
      <c r="L29" s="164">
        <f>IF(($K27-$K23)*($L27-$L23)&lt;0,IF((L27-L23)&gt;0,-K29,L23-L27),0)</f>
        <v>0</v>
      </c>
      <c r="M29" s="45"/>
    </row>
    <row r="30" spans="1:18" x14ac:dyDescent="0.25">
      <c r="A30" s="37"/>
      <c r="B30" s="42"/>
      <c r="C30" s="42"/>
      <c r="D30" s="42"/>
      <c r="E30" s="42"/>
      <c r="F30" s="42"/>
      <c r="G30" s="42"/>
      <c r="H30" s="42"/>
      <c r="I30" s="148" t="s">
        <v>277</v>
      </c>
      <c r="J30" s="99">
        <f>J27+J29</f>
        <v>0</v>
      </c>
      <c r="K30" s="99">
        <f>K27+K29</f>
        <v>0</v>
      </c>
      <c r="L30" s="99">
        <f>L27+L29</f>
        <v>0</v>
      </c>
      <c r="M30" s="45"/>
    </row>
    <row r="31" spans="1:18" x14ac:dyDescent="0.25">
      <c r="A31" s="37"/>
      <c r="B31" s="42"/>
      <c r="C31" s="42"/>
      <c r="D31" s="42"/>
      <c r="E31" s="42"/>
      <c r="F31" s="42"/>
      <c r="G31" s="42"/>
      <c r="H31" s="42"/>
      <c r="I31" s="42"/>
      <c r="J31" s="29" t="str">
        <f>IF(J23&gt;J30,"Engpass","OK")</f>
        <v>OK</v>
      </c>
      <c r="K31" s="29" t="str">
        <f>IF(K23&gt;K30,"Engpass","OK")</f>
        <v>OK</v>
      </c>
      <c r="L31" s="29" t="str">
        <f>IF(L23&gt;L30,"Engpass","OK")</f>
        <v>OK</v>
      </c>
      <c r="M31" s="45"/>
      <c r="R31" s="166"/>
    </row>
    <row r="32" spans="1:18" ht="14.95" thickBot="1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293" t="str">
        <f>'Aktuelle Wirtschaftsdaten'!$P$47</f>
        <v>MK_GMS_Pro 2.10</v>
      </c>
    </row>
  </sheetData>
  <mergeCells count="2">
    <mergeCell ref="F8:G8"/>
    <mergeCell ref="F21:G21"/>
  </mergeCells>
  <conditionalFormatting sqref="J15:L15 J18:L18 J28:L28 J31:L31">
    <cfRule type="cellIs" dxfId="8" priority="1" operator="equal">
      <formula>"Engpass"</formula>
    </cfRule>
  </conditionalFormatting>
  <pageMargins left="0.7" right="0.7" top="0.78740157499999996" bottom="0.78740157499999996" header="0.3" footer="0.3"/>
  <pageSetup paperSize="9" orientation="portrait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5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4.5" customWidth="1"/>
    <col min="3" max="3" width="11.125" customWidth="1"/>
    <col min="4" max="4" width="10" customWidth="1"/>
    <col min="5" max="5" width="1.375" customWidth="1"/>
    <col min="6" max="7" width="11.125" customWidth="1"/>
    <col min="8" max="8" width="1.375" customWidth="1"/>
    <col min="9" max="12" width="11.125" customWidth="1"/>
    <col min="13" max="13" width="1.375" customWidth="1"/>
  </cols>
  <sheetData>
    <row r="1" spans="1:13" ht="7.15" customHeight="1" x14ac:dyDescent="0.2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4"/>
      <c r="M1" s="125"/>
    </row>
    <row r="2" spans="1:13" ht="23.45" customHeight="1" x14ac:dyDescent="0.4">
      <c r="A2" s="126"/>
      <c r="B2" s="127" t="s">
        <v>142</v>
      </c>
      <c r="C2" s="128"/>
      <c r="D2" s="128"/>
      <c r="E2" s="130"/>
      <c r="F2" s="128"/>
      <c r="G2" s="128"/>
      <c r="H2" s="130"/>
      <c r="I2" s="128"/>
      <c r="J2" s="128"/>
      <c r="K2" s="32"/>
      <c r="L2" s="78">
        <f>'Aktuelle Wirtschaftsdaten'!$O$2</f>
        <v>-1</v>
      </c>
      <c r="M2" s="129"/>
    </row>
    <row r="3" spans="1:13" ht="5.95" customHeight="1" x14ac:dyDescent="0.25">
      <c r="A3" s="126"/>
      <c r="B3" s="167"/>
      <c r="C3" s="130"/>
      <c r="D3" s="130"/>
      <c r="E3" s="130"/>
      <c r="F3" s="167"/>
      <c r="G3" s="167"/>
      <c r="H3" s="130"/>
      <c r="I3" s="167"/>
      <c r="J3" s="167"/>
      <c r="K3" s="167"/>
      <c r="L3" s="138"/>
      <c r="M3" s="132"/>
    </row>
    <row r="4" spans="1:13" x14ac:dyDescent="0.25">
      <c r="A4" s="134"/>
      <c r="B4" s="24" t="s">
        <v>143</v>
      </c>
      <c r="C4" s="168"/>
      <c r="D4" s="130"/>
      <c r="E4" s="169"/>
      <c r="F4" s="361" t="s">
        <v>144</v>
      </c>
      <c r="G4" s="362"/>
      <c r="H4" s="137"/>
      <c r="I4" s="361" t="s">
        <v>145</v>
      </c>
      <c r="J4" s="362"/>
      <c r="K4" s="362"/>
      <c r="L4" s="362"/>
      <c r="M4" s="129"/>
    </row>
    <row r="5" spans="1:13" ht="15.65" customHeight="1" x14ac:dyDescent="0.25">
      <c r="A5" s="126"/>
      <c r="B5" s="170"/>
      <c r="C5" s="146" t="s">
        <v>94</v>
      </c>
      <c r="D5" s="139"/>
      <c r="E5" s="169"/>
      <c r="F5" s="146" t="s">
        <v>305</v>
      </c>
      <c r="G5" s="146" t="s">
        <v>61</v>
      </c>
      <c r="H5" s="137"/>
      <c r="I5" s="146" t="s">
        <v>146</v>
      </c>
      <c r="J5" s="146" t="s">
        <v>73</v>
      </c>
      <c r="K5" s="146" t="s">
        <v>75</v>
      </c>
      <c r="L5" s="146" t="s">
        <v>76</v>
      </c>
      <c r="M5" s="129"/>
    </row>
    <row r="6" spans="1:13" ht="15.65" customHeight="1" x14ac:dyDescent="0.25">
      <c r="A6" s="126"/>
      <c r="B6" s="171"/>
      <c r="C6" s="25" t="s">
        <v>34</v>
      </c>
      <c r="D6" s="139"/>
      <c r="E6" s="169"/>
      <c r="F6" s="4" t="s">
        <v>34</v>
      </c>
      <c r="G6" s="4" t="s">
        <v>34</v>
      </c>
      <c r="H6" s="137"/>
      <c r="I6" s="4" t="s">
        <v>34</v>
      </c>
      <c r="J6" s="4" t="s">
        <v>34</v>
      </c>
      <c r="K6" s="4" t="s">
        <v>34</v>
      </c>
      <c r="L6" s="4" t="s">
        <v>34</v>
      </c>
      <c r="M6" s="129"/>
    </row>
    <row r="7" spans="1:13" x14ac:dyDescent="0.25">
      <c r="A7" s="134"/>
      <c r="B7" s="63" t="s">
        <v>147</v>
      </c>
      <c r="C7" s="151">
        <f>C9+C16+C23+C30+C38+C46+C50+C56+C62+C75+C83+C89</f>
        <v>62435.182999999997</v>
      </c>
      <c r="D7" s="139"/>
      <c r="E7" s="169"/>
      <c r="F7" s="151">
        <f>F9+F16+F23+F30+F38+F50+F56+F62+F75+F83+F89</f>
        <v>24947.095000000001</v>
      </c>
      <c r="G7" s="151">
        <f>G9+G16+G23+G30+G38+G50+G56+G62+G75+G83+G89</f>
        <v>0</v>
      </c>
      <c r="H7" s="137"/>
      <c r="I7" s="151">
        <f>I9+I16+I23+I30+I38+I46+I50+I56+I62+I75+I83+I89</f>
        <v>738.2589999999982</v>
      </c>
      <c r="J7" s="151">
        <f t="shared" ref="J7:L7" si="0">J9+J16+J23+J30+J38+J46+J50+J56+J62+J75+J83+J89</f>
        <v>28864.61</v>
      </c>
      <c r="K7" s="151">
        <f t="shared" si="0"/>
        <v>3701.752</v>
      </c>
      <c r="L7" s="151">
        <f t="shared" si="0"/>
        <v>4183.4669999999996</v>
      </c>
      <c r="M7" s="129"/>
    </row>
    <row r="8" spans="1:13" ht="7.15" customHeight="1" x14ac:dyDescent="0.25">
      <c r="A8" s="126"/>
      <c r="B8" s="131"/>
      <c r="C8" s="138"/>
      <c r="D8" s="130"/>
      <c r="E8" s="130"/>
      <c r="F8" s="138"/>
      <c r="G8" s="138"/>
      <c r="H8" s="130"/>
      <c r="I8" s="131"/>
      <c r="J8" s="131"/>
      <c r="K8" s="131"/>
      <c r="L8" s="131"/>
      <c r="M8" s="132"/>
    </row>
    <row r="9" spans="1:13" ht="14.45" customHeight="1" x14ac:dyDescent="0.25">
      <c r="A9" s="126"/>
      <c r="B9" s="281"/>
      <c r="C9" s="153">
        <f>ROUND(SUM(C11:C14),3)</f>
        <v>19416.062999999998</v>
      </c>
      <c r="D9" s="172"/>
      <c r="E9" s="169"/>
      <c r="F9" s="151">
        <f>C9-G9</f>
        <v>19416.062999999998</v>
      </c>
      <c r="G9" s="151">
        <f>ROUND(SUM(G11:G14),3)</f>
        <v>0</v>
      </c>
      <c r="H9" s="139"/>
      <c r="I9" s="167"/>
      <c r="J9" s="167"/>
      <c r="K9" s="167"/>
      <c r="L9" s="167"/>
      <c r="M9" s="132"/>
    </row>
    <row r="10" spans="1:13" ht="14.45" customHeight="1" x14ac:dyDescent="0.25">
      <c r="A10" s="126"/>
      <c r="B10" s="281" t="s">
        <v>379</v>
      </c>
      <c r="C10" s="25" t="s">
        <v>34</v>
      </c>
      <c r="D10" s="4" t="s">
        <v>55</v>
      </c>
      <c r="E10" s="137"/>
      <c r="F10" s="146" t="s">
        <v>305</v>
      </c>
      <c r="G10" s="146" t="s">
        <v>61</v>
      </c>
      <c r="H10" s="137"/>
      <c r="I10" s="173">
        <v>0.03</v>
      </c>
      <c r="J10" s="173">
        <v>0.75</v>
      </c>
      <c r="K10" s="174">
        <v>0.05</v>
      </c>
      <c r="L10" s="173">
        <f>1-SUM(I10:K10)</f>
        <v>0.16999999999999993</v>
      </c>
      <c r="M10" s="129"/>
    </row>
    <row r="11" spans="1:13" x14ac:dyDescent="0.25">
      <c r="A11" s="134"/>
      <c r="B11" s="63" t="s">
        <v>387</v>
      </c>
      <c r="C11" s="160">
        <f>$D11/SUM($D$11:$D$12)*-Vorräte!$E$9</f>
        <v>1804</v>
      </c>
      <c r="D11" s="175">
        <f>'Aktuelle Wirtschaftsdaten'!$J$23*Fertigung!$D$6</f>
        <v>41000</v>
      </c>
      <c r="E11" s="137"/>
      <c r="F11" s="149">
        <f>C11</f>
        <v>1804</v>
      </c>
      <c r="G11" s="176"/>
      <c r="H11" s="139"/>
      <c r="I11" s="131"/>
      <c r="J11" s="131"/>
      <c r="K11" s="131"/>
      <c r="L11" s="131"/>
      <c r="M11" s="132"/>
    </row>
    <row r="12" spans="1:13" x14ac:dyDescent="0.25">
      <c r="A12" s="134"/>
      <c r="B12" s="63" t="s">
        <v>388</v>
      </c>
      <c r="C12" s="160">
        <f>-Vorräte!$E$9-C11</f>
        <v>0</v>
      </c>
      <c r="D12" s="175">
        <f>'Aktuelle Wirtschaftsdaten'!$J$28*Fertigung!$E$6</f>
        <v>0</v>
      </c>
      <c r="E12" s="137"/>
      <c r="F12" s="176"/>
      <c r="G12" s="149">
        <f>C12</f>
        <v>0</v>
      </c>
      <c r="H12" s="139"/>
      <c r="I12" s="130"/>
      <c r="J12" s="130"/>
      <c r="K12" s="130"/>
      <c r="L12" s="130"/>
      <c r="M12" s="132"/>
    </row>
    <row r="13" spans="1:13" x14ac:dyDescent="0.25">
      <c r="A13" s="134"/>
      <c r="B13" s="63" t="s">
        <v>420</v>
      </c>
      <c r="C13" s="160">
        <f>-Vorräte!$H$9</f>
        <v>17612.062999999998</v>
      </c>
      <c r="D13" s="175">
        <f>'Aktuelle Wirtschaftsdaten'!$J$24*Fertigung!$D$6</f>
        <v>41000</v>
      </c>
      <c r="E13" s="169"/>
      <c r="F13" s="149">
        <f>C13</f>
        <v>17612.062999999998</v>
      </c>
      <c r="G13" s="176"/>
      <c r="H13" s="139"/>
      <c r="I13" s="130"/>
      <c r="J13" s="130"/>
      <c r="K13" s="130"/>
      <c r="L13" s="130"/>
      <c r="M13" s="132"/>
    </row>
    <row r="14" spans="1:13" x14ac:dyDescent="0.25">
      <c r="A14" s="134"/>
      <c r="B14" s="63" t="s">
        <v>421</v>
      </c>
      <c r="C14" s="160">
        <f>-Vorräte!$K$9</f>
        <v>0</v>
      </c>
      <c r="D14" s="175">
        <f>'Aktuelle Wirtschaftsdaten'!$J$29*Fertigung!$E$6</f>
        <v>0</v>
      </c>
      <c r="E14" s="169"/>
      <c r="F14" s="176"/>
      <c r="G14" s="149">
        <f>C14</f>
        <v>0</v>
      </c>
      <c r="H14" s="139"/>
      <c r="I14" s="130"/>
      <c r="J14" s="130"/>
      <c r="K14" s="130"/>
      <c r="L14" s="130"/>
      <c r="M14" s="132"/>
    </row>
    <row r="15" spans="1:13" ht="7.15" customHeight="1" x14ac:dyDescent="0.25">
      <c r="A15" s="126"/>
      <c r="B15" s="131"/>
      <c r="C15" s="138"/>
      <c r="D15" s="130"/>
      <c r="E15" s="130"/>
      <c r="F15" s="138"/>
      <c r="G15" s="138"/>
      <c r="H15" s="130"/>
      <c r="I15" s="131"/>
      <c r="J15" s="131"/>
      <c r="K15" s="131"/>
      <c r="L15" s="131"/>
      <c r="M15" s="132"/>
    </row>
    <row r="16" spans="1:13" ht="14.45" customHeight="1" x14ac:dyDescent="0.25">
      <c r="A16" s="126"/>
      <c r="B16" s="281"/>
      <c r="C16" s="153">
        <f>ROUND(SUM(C18:C21),3)</f>
        <v>110</v>
      </c>
      <c r="D16" s="172"/>
      <c r="E16" s="169"/>
      <c r="F16" s="151">
        <f>C16-G16</f>
        <v>110</v>
      </c>
      <c r="G16" s="151">
        <f>ROUND(SUM(G18:G21),3)</f>
        <v>0</v>
      </c>
      <c r="H16" s="139"/>
      <c r="I16" s="130"/>
      <c r="J16" s="130"/>
      <c r="K16" s="130"/>
      <c r="L16" s="130"/>
      <c r="M16" s="132"/>
    </row>
    <row r="17" spans="1:13" ht="14.45" customHeight="1" x14ac:dyDescent="0.25">
      <c r="A17" s="126"/>
      <c r="B17" s="281" t="s">
        <v>90</v>
      </c>
      <c r="C17" s="4" t="s">
        <v>34</v>
      </c>
      <c r="D17" s="4" t="s">
        <v>149</v>
      </c>
      <c r="E17" s="137"/>
      <c r="F17" s="146" t="s">
        <v>305</v>
      </c>
      <c r="G17" s="146" t="s">
        <v>61</v>
      </c>
      <c r="H17" s="139"/>
      <c r="I17" s="130"/>
      <c r="J17" s="130"/>
      <c r="K17" s="130"/>
      <c r="L17" s="130"/>
      <c r="M17" s="132"/>
    </row>
    <row r="18" spans="1:13" x14ac:dyDescent="0.25">
      <c r="A18" s="134"/>
      <c r="B18" s="148" t="s">
        <v>387</v>
      </c>
      <c r="C18" s="160">
        <f>ROUND($D11/SUM($D$11:$D$12)*ROUNDUP(Vorräte!$C$10/1000,0)*$D18,3)</f>
        <v>0</v>
      </c>
      <c r="D18" s="178">
        <f>'Aktuelle Wirtschaftsdaten'!$E$26</f>
        <v>2</v>
      </c>
      <c r="E18" s="137"/>
      <c r="F18" s="149">
        <f>C18</f>
        <v>0</v>
      </c>
      <c r="G18" s="176"/>
      <c r="H18" s="139"/>
      <c r="I18" s="130"/>
      <c r="J18" s="130"/>
      <c r="K18" s="130"/>
      <c r="L18" s="130"/>
      <c r="M18" s="132"/>
    </row>
    <row r="19" spans="1:13" x14ac:dyDescent="0.25">
      <c r="A19" s="134"/>
      <c r="B19" s="148" t="s">
        <v>388</v>
      </c>
      <c r="C19" s="160">
        <f>ROUNDUP(Vorräte!$C$10/1000,0)*$D19-C18</f>
        <v>0</v>
      </c>
      <c r="D19" s="178">
        <f>'Aktuelle Wirtschaftsdaten'!$E26</f>
        <v>2</v>
      </c>
      <c r="E19" s="137"/>
      <c r="F19" s="176"/>
      <c r="G19" s="149">
        <f>C19</f>
        <v>0</v>
      </c>
      <c r="H19" s="139"/>
      <c r="I19" s="130"/>
      <c r="J19" s="130"/>
      <c r="K19" s="130"/>
      <c r="L19" s="130"/>
      <c r="M19" s="132"/>
    </row>
    <row r="20" spans="1:13" x14ac:dyDescent="0.25">
      <c r="A20" s="134"/>
      <c r="B20" s="148" t="s">
        <v>420</v>
      </c>
      <c r="C20" s="160">
        <f>ROUNDUP(Vorräte!$F$10/1000,0)*$D20</f>
        <v>110</v>
      </c>
      <c r="D20" s="178">
        <f>'Aktuelle Wirtschaftsdaten'!$E27</f>
        <v>10</v>
      </c>
      <c r="E20" s="137"/>
      <c r="F20" s="149">
        <f>C20</f>
        <v>110</v>
      </c>
      <c r="G20" s="176"/>
      <c r="H20" s="139"/>
      <c r="I20" s="130"/>
      <c r="J20" s="130"/>
      <c r="K20" s="130"/>
      <c r="L20" s="130"/>
      <c r="M20" s="132"/>
    </row>
    <row r="21" spans="1:13" x14ac:dyDescent="0.25">
      <c r="A21" s="134"/>
      <c r="B21" s="148" t="s">
        <v>421</v>
      </c>
      <c r="C21" s="160">
        <f>ROUNDUP(Vorräte!$I$10/1000,0)*$D21</f>
        <v>0</v>
      </c>
      <c r="D21" s="178">
        <f>'Aktuelle Wirtschaftsdaten'!$E28</f>
        <v>15</v>
      </c>
      <c r="E21" s="137"/>
      <c r="F21" s="176"/>
      <c r="G21" s="149">
        <f>C21</f>
        <v>0</v>
      </c>
      <c r="H21" s="139"/>
      <c r="I21" s="130"/>
      <c r="J21" s="130"/>
      <c r="K21" s="130"/>
      <c r="L21" s="130"/>
      <c r="M21" s="132"/>
    </row>
    <row r="22" spans="1:13" ht="7.15" customHeight="1" x14ac:dyDescent="0.25">
      <c r="A22" s="126"/>
      <c r="B22" s="131"/>
      <c r="C22" s="138"/>
      <c r="D22" s="130"/>
      <c r="E22" s="130"/>
      <c r="F22" s="138"/>
      <c r="G22" s="138"/>
      <c r="H22" s="130"/>
      <c r="I22" s="131"/>
      <c r="J22" s="131"/>
      <c r="K22" s="131"/>
      <c r="L22" s="131"/>
      <c r="M22" s="132"/>
    </row>
    <row r="23" spans="1:13" ht="14.45" customHeight="1" x14ac:dyDescent="0.25">
      <c r="A23" s="126"/>
      <c r="B23" s="281"/>
      <c r="C23" s="153">
        <f>ROUND(SUM(C25:C28),3)</f>
        <v>90</v>
      </c>
      <c r="D23" s="172"/>
      <c r="E23" s="169"/>
      <c r="F23" s="151">
        <f>C23-G23</f>
        <v>90</v>
      </c>
      <c r="G23" s="151">
        <f>ROUND(SUM(G25:G28),3)</f>
        <v>0</v>
      </c>
      <c r="H23" s="139"/>
      <c r="I23" s="130"/>
      <c r="J23" s="130"/>
      <c r="K23" s="130"/>
      <c r="L23" s="130"/>
      <c r="M23" s="132"/>
    </row>
    <row r="24" spans="1:13" ht="14.45" customHeight="1" x14ac:dyDescent="0.25">
      <c r="A24" s="126"/>
      <c r="B24" s="281" t="s">
        <v>66</v>
      </c>
      <c r="C24" s="25" t="s">
        <v>34</v>
      </c>
      <c r="D24" s="25" t="s">
        <v>149</v>
      </c>
      <c r="E24" s="137"/>
      <c r="F24" s="146" t="s">
        <v>305</v>
      </c>
      <c r="G24" s="146" t="s">
        <v>61</v>
      </c>
      <c r="H24" s="139"/>
      <c r="I24" s="130"/>
      <c r="J24" s="130"/>
      <c r="K24" s="130"/>
      <c r="L24" s="130"/>
      <c r="M24" s="132"/>
    </row>
    <row r="25" spans="1:13" x14ac:dyDescent="0.25">
      <c r="A25" s="134"/>
      <c r="B25" s="63" t="s">
        <v>308</v>
      </c>
      <c r="C25" s="160">
        <f>ROUNDUP(Vorräte!$C$18/1000,0)*$D25</f>
        <v>90</v>
      </c>
      <c r="D25" s="178">
        <f>'Aktuelle Wirtschaftsdaten'!$O43</f>
        <v>30</v>
      </c>
      <c r="E25" s="137"/>
      <c r="F25" s="149">
        <f>C25</f>
        <v>90</v>
      </c>
      <c r="G25" s="176"/>
      <c r="H25" s="139"/>
      <c r="I25" s="130"/>
      <c r="J25" s="130"/>
      <c r="K25" s="130"/>
      <c r="L25" s="130"/>
      <c r="M25" s="132"/>
    </row>
    <row r="26" spans="1:13" x14ac:dyDescent="0.25">
      <c r="A26" s="134"/>
      <c r="B26" s="63" t="s">
        <v>309</v>
      </c>
      <c r="C26" s="160">
        <f>ROUNDUP(Vorräte!$F$18/1000,0)*$D26</f>
        <v>0</v>
      </c>
      <c r="D26" s="178">
        <f>'Aktuelle Wirtschaftsdaten'!$O44</f>
        <v>36</v>
      </c>
      <c r="E26" s="137"/>
      <c r="F26" s="149">
        <f>C26</f>
        <v>0</v>
      </c>
      <c r="G26" s="176"/>
      <c r="H26" s="139"/>
      <c r="I26" s="130"/>
      <c r="J26" s="130"/>
      <c r="K26" s="130"/>
      <c r="L26" s="130"/>
      <c r="M26" s="132"/>
    </row>
    <row r="27" spans="1:13" x14ac:dyDescent="0.25">
      <c r="A27" s="134"/>
      <c r="B27" s="63" t="s">
        <v>62</v>
      </c>
      <c r="C27" s="160">
        <f>ROUNDUP(Vorräte!$I$18/1000,0)*$D27</f>
        <v>0</v>
      </c>
      <c r="D27" s="178">
        <f>'Aktuelle Wirtschaftsdaten'!$O45</f>
        <v>40</v>
      </c>
      <c r="E27" s="137"/>
      <c r="F27" s="176"/>
      <c r="G27" s="149">
        <f>C27</f>
        <v>0</v>
      </c>
      <c r="H27" s="139"/>
      <c r="I27" s="130"/>
      <c r="J27" s="130"/>
      <c r="K27" s="130"/>
      <c r="L27" s="130"/>
      <c r="M27" s="132"/>
    </row>
    <row r="28" spans="1:13" x14ac:dyDescent="0.25">
      <c r="A28" s="134"/>
      <c r="B28" s="63" t="s">
        <v>64</v>
      </c>
      <c r="C28" s="160">
        <f>ROUNDUP(Vorräte!$L$18/1000,0)*$D28</f>
        <v>0</v>
      </c>
      <c r="D28" s="178">
        <f>'Aktuelle Wirtschaftsdaten'!$O46</f>
        <v>48</v>
      </c>
      <c r="E28" s="137"/>
      <c r="F28" s="176"/>
      <c r="G28" s="149">
        <f>C28</f>
        <v>0</v>
      </c>
      <c r="H28" s="139"/>
      <c r="I28" s="130"/>
      <c r="J28" s="130"/>
      <c r="K28" s="130"/>
      <c r="L28" s="130"/>
      <c r="M28" s="132"/>
    </row>
    <row r="29" spans="1:13" ht="7.15" customHeight="1" x14ac:dyDescent="0.25">
      <c r="A29" s="126"/>
      <c r="B29" s="131"/>
      <c r="C29" s="138"/>
      <c r="D29" s="130"/>
      <c r="E29" s="130"/>
      <c r="F29" s="138"/>
      <c r="G29" s="138"/>
      <c r="H29" s="130"/>
      <c r="I29" s="131"/>
      <c r="J29" s="131"/>
      <c r="K29" s="131"/>
      <c r="L29" s="131"/>
      <c r="M29" s="132"/>
    </row>
    <row r="30" spans="1:13" ht="14.45" customHeight="1" x14ac:dyDescent="0.25">
      <c r="A30" s="126"/>
      <c r="B30" s="281"/>
      <c r="C30" s="151">
        <f>ROUND(SUM(C32:C36),3)</f>
        <v>24204.088</v>
      </c>
      <c r="D30" s="168"/>
      <c r="E30" s="130"/>
      <c r="F30" s="130"/>
      <c r="G30" s="130"/>
      <c r="H30" s="169"/>
      <c r="I30" s="151">
        <f>C30-SUM(J30:L30)</f>
        <v>675.73899999999776</v>
      </c>
      <c r="J30" s="151">
        <f>ROUND(SUM(J32:J36),3)</f>
        <v>16801.61</v>
      </c>
      <c r="K30" s="151">
        <f>ROUND(SUM(K32:K36),3)</f>
        <v>2897.5520000000001</v>
      </c>
      <c r="L30" s="151">
        <f>ROUND(SUM(L32:L36),3)</f>
        <v>3829.1869999999999</v>
      </c>
      <c r="M30" s="129"/>
    </row>
    <row r="31" spans="1:13" ht="14.45" customHeight="1" x14ac:dyDescent="0.25">
      <c r="A31" s="126"/>
      <c r="B31" s="281" t="s">
        <v>150</v>
      </c>
      <c r="C31" s="4" t="s">
        <v>34</v>
      </c>
      <c r="D31" s="26" t="s">
        <v>71</v>
      </c>
      <c r="E31" s="139"/>
      <c r="F31" s="130"/>
      <c r="G31" s="130"/>
      <c r="H31" s="169"/>
      <c r="I31" s="146" t="s">
        <v>146</v>
      </c>
      <c r="J31" s="146" t="s">
        <v>73</v>
      </c>
      <c r="K31" s="146" t="s">
        <v>75</v>
      </c>
      <c r="L31" s="146" t="s">
        <v>76</v>
      </c>
      <c r="M31" s="129"/>
    </row>
    <row r="32" spans="1:13" x14ac:dyDescent="0.25">
      <c r="A32" s="134"/>
      <c r="B32" s="148" t="s">
        <v>146</v>
      </c>
      <c r="C32" s="160">
        <f>ROUND(Personal!$F$26*$D32,3)</f>
        <v>675.73900000000003</v>
      </c>
      <c r="D32" s="179">
        <v>0.15</v>
      </c>
      <c r="E32" s="139"/>
      <c r="F32" s="130"/>
      <c r="G32" s="130"/>
      <c r="H32" s="169"/>
      <c r="I32" s="149">
        <f>C32</f>
        <v>675.73900000000003</v>
      </c>
      <c r="J32" s="176"/>
      <c r="K32" s="176"/>
      <c r="L32" s="176"/>
      <c r="M32" s="129"/>
    </row>
    <row r="33" spans="1:13" x14ac:dyDescent="0.25">
      <c r="A33" s="134"/>
      <c r="B33" s="148" t="s">
        <v>151</v>
      </c>
      <c r="C33" s="160">
        <f>ROUND(MIN(Personal!$D$26,ROUNDUP(Personal!$D$26*$D34/$D33,-1)),3)</f>
        <v>16801.61</v>
      </c>
      <c r="D33" s="180">
        <v>0.96</v>
      </c>
      <c r="E33" s="139"/>
      <c r="F33" s="130"/>
      <c r="G33" s="130"/>
      <c r="H33" s="169"/>
      <c r="I33" s="176"/>
      <c r="J33" s="149">
        <f>C33</f>
        <v>16801.61</v>
      </c>
      <c r="K33" s="176"/>
      <c r="L33" s="176"/>
      <c r="M33" s="129"/>
    </row>
    <row r="34" spans="1:13" x14ac:dyDescent="0.25">
      <c r="A34" s="134"/>
      <c r="B34" s="148" t="s">
        <v>152</v>
      </c>
      <c r="C34" s="160">
        <f>Personal!$D$26-C33</f>
        <v>0</v>
      </c>
      <c r="D34" s="181">
        <f>Fertigung!$H$12</f>
        <v>0.98607825853769393</v>
      </c>
      <c r="E34" s="139"/>
      <c r="F34" s="130"/>
      <c r="G34" s="130"/>
      <c r="H34" s="169"/>
      <c r="I34" s="176"/>
      <c r="J34" s="99">
        <f>C34</f>
        <v>0</v>
      </c>
      <c r="K34" s="176"/>
      <c r="L34" s="176"/>
      <c r="M34" s="129"/>
    </row>
    <row r="35" spans="1:13" x14ac:dyDescent="0.25">
      <c r="A35" s="134"/>
      <c r="B35" s="148" t="s">
        <v>75</v>
      </c>
      <c r="C35" s="160">
        <f>Personal!$E$26</f>
        <v>2897.5520000000001</v>
      </c>
      <c r="D35" s="177"/>
      <c r="E35" s="130"/>
      <c r="F35" s="130"/>
      <c r="G35" s="130"/>
      <c r="H35" s="169"/>
      <c r="I35" s="176"/>
      <c r="J35" s="176"/>
      <c r="K35" s="99">
        <f>C35</f>
        <v>2897.5520000000001</v>
      </c>
      <c r="L35" s="176"/>
      <c r="M35" s="129"/>
    </row>
    <row r="36" spans="1:13" x14ac:dyDescent="0.25">
      <c r="A36" s="134"/>
      <c r="B36" s="148" t="s">
        <v>76</v>
      </c>
      <c r="C36" s="160">
        <f>Personal!$F$26-C32</f>
        <v>3829.1870000000004</v>
      </c>
      <c r="D36" s="139"/>
      <c r="E36" s="130"/>
      <c r="F36" s="130"/>
      <c r="G36" s="130"/>
      <c r="H36" s="169"/>
      <c r="I36" s="176"/>
      <c r="J36" s="176"/>
      <c r="K36" s="176"/>
      <c r="L36" s="149">
        <f>C36</f>
        <v>3829.1870000000004</v>
      </c>
      <c r="M36" s="129"/>
    </row>
    <row r="37" spans="1:13" ht="7.15" customHeight="1" x14ac:dyDescent="0.25">
      <c r="A37" s="126"/>
      <c r="B37" s="131"/>
      <c r="C37" s="138"/>
      <c r="D37" s="130"/>
      <c r="E37" s="130"/>
      <c r="F37" s="138"/>
      <c r="G37" s="138"/>
      <c r="H37" s="130"/>
      <c r="I37" s="131"/>
      <c r="J37" s="131"/>
      <c r="K37" s="131"/>
      <c r="L37" s="131"/>
      <c r="M37" s="132"/>
    </row>
    <row r="38" spans="1:13" ht="14.45" customHeight="1" x14ac:dyDescent="0.25">
      <c r="A38" s="126"/>
      <c r="B38" s="281"/>
      <c r="C38" s="151">
        <f>ROUND(SUM(C40:C44),3)</f>
        <v>8484</v>
      </c>
      <c r="D38" s="168"/>
      <c r="E38" s="130"/>
      <c r="F38" s="130"/>
      <c r="G38" s="130"/>
      <c r="H38" s="169"/>
      <c r="I38" s="151">
        <f>C38-SUM(J38:L38)</f>
        <v>62.520000000000437</v>
      </c>
      <c r="J38" s="151">
        <f>ROUND(SUM(J40:J44),3)</f>
        <v>7963</v>
      </c>
      <c r="K38" s="151">
        <f>ROUND(SUM(K40:K44),3)</f>
        <v>104.2</v>
      </c>
      <c r="L38" s="151">
        <f>ROUND(SUM(L40:L44),3)</f>
        <v>354.28</v>
      </c>
      <c r="M38" s="129"/>
    </row>
    <row r="39" spans="1:13" ht="14.45" customHeight="1" x14ac:dyDescent="0.25">
      <c r="A39" s="126"/>
      <c r="B39" s="281" t="s">
        <v>123</v>
      </c>
      <c r="C39" s="4" t="s">
        <v>34</v>
      </c>
      <c r="D39" s="4" t="s">
        <v>71</v>
      </c>
      <c r="E39" s="139"/>
      <c r="F39" s="130"/>
      <c r="G39" s="130"/>
      <c r="H39" s="169"/>
      <c r="I39" s="146" t="s">
        <v>146</v>
      </c>
      <c r="J39" s="146" t="s">
        <v>73</v>
      </c>
      <c r="K39" s="146" t="s">
        <v>75</v>
      </c>
      <c r="L39" s="146" t="s">
        <v>76</v>
      </c>
      <c r="M39" s="129"/>
    </row>
    <row r="40" spans="1:13" x14ac:dyDescent="0.25">
      <c r="A40" s="134"/>
      <c r="B40" s="182" t="s">
        <v>153</v>
      </c>
      <c r="C40" s="183"/>
      <c r="D40" s="177"/>
      <c r="E40" s="130"/>
      <c r="F40" s="130"/>
      <c r="G40" s="130"/>
      <c r="H40" s="169"/>
      <c r="I40" s="176"/>
      <c r="J40" s="176"/>
      <c r="K40" s="176"/>
      <c r="L40" s="176"/>
      <c r="M40" s="129"/>
    </row>
    <row r="41" spans="1:13" x14ac:dyDescent="0.25">
      <c r="A41" s="134"/>
      <c r="B41" s="148" t="s">
        <v>36</v>
      </c>
      <c r="C41" s="184">
        <f>-Anlagevermögen!$J$10</f>
        <v>1140</v>
      </c>
      <c r="D41" s="168"/>
      <c r="E41" s="130"/>
      <c r="F41" s="130"/>
      <c r="G41" s="130"/>
      <c r="H41" s="169"/>
      <c r="I41" s="149">
        <f>ROUND($C41*I$10,3)</f>
        <v>34.200000000000003</v>
      </c>
      <c r="J41" s="149">
        <f>C41-I41-K41-L41</f>
        <v>855</v>
      </c>
      <c r="K41" s="149">
        <f>ROUND($C41*K$10,3)</f>
        <v>57</v>
      </c>
      <c r="L41" s="149">
        <f>ROUND($C41*L$10,3)</f>
        <v>193.8</v>
      </c>
      <c r="M41" s="129"/>
    </row>
    <row r="42" spans="1:13" x14ac:dyDescent="0.25">
      <c r="A42" s="134"/>
      <c r="B42" s="148" t="s">
        <v>154</v>
      </c>
      <c r="C42" s="99">
        <f>MIN(-Anlagevermögen!$M$10,ROUNDUP(-Anlagevermögen!$M$10*$D43/$D42,-1))</f>
        <v>6220</v>
      </c>
      <c r="D42" s="180">
        <v>0.96</v>
      </c>
      <c r="E42" s="139"/>
      <c r="F42" s="130"/>
      <c r="G42" s="130"/>
      <c r="H42" s="169"/>
      <c r="I42" s="176"/>
      <c r="J42" s="99">
        <f>C42</f>
        <v>6220</v>
      </c>
      <c r="K42" s="176"/>
      <c r="L42" s="176"/>
      <c r="M42" s="129"/>
    </row>
    <row r="43" spans="1:13" x14ac:dyDescent="0.25">
      <c r="A43" s="134"/>
      <c r="B43" s="148" t="s">
        <v>155</v>
      </c>
      <c r="C43" s="99">
        <f>-Anlagevermögen!$M$10-C42</f>
        <v>180</v>
      </c>
      <c r="D43" s="185">
        <f>Fertigung!$H$23</f>
        <v>0.93181818181818177</v>
      </c>
      <c r="E43" s="139"/>
      <c r="F43" s="130"/>
      <c r="G43" s="130"/>
      <c r="H43" s="169"/>
      <c r="I43" s="176"/>
      <c r="J43" s="99">
        <f>C43</f>
        <v>180</v>
      </c>
      <c r="K43" s="176"/>
      <c r="L43" s="176"/>
      <c r="M43" s="129"/>
    </row>
    <row r="44" spans="1:13" x14ac:dyDescent="0.25">
      <c r="A44" s="134"/>
      <c r="B44" s="148" t="s">
        <v>40</v>
      </c>
      <c r="C44" s="186">
        <f>-Anlagevermögen!$X$10</f>
        <v>944</v>
      </c>
      <c r="D44" s="177"/>
      <c r="E44" s="130"/>
      <c r="F44" s="130"/>
      <c r="G44" s="130"/>
      <c r="H44" s="169"/>
      <c r="I44" s="149">
        <f>ROUND($C44*I$10,3)</f>
        <v>28.32</v>
      </c>
      <c r="J44" s="149">
        <f>C44-I44-K44-L44</f>
        <v>707.99999999999989</v>
      </c>
      <c r="K44" s="149">
        <f>ROUND($C44*K$10,3)</f>
        <v>47.2</v>
      </c>
      <c r="L44" s="149">
        <f>ROUND($C44*L$10,3)</f>
        <v>160.47999999999999</v>
      </c>
      <c r="M44" s="129"/>
    </row>
    <row r="45" spans="1:13" ht="7.15" customHeight="1" x14ac:dyDescent="0.25">
      <c r="A45" s="126"/>
      <c r="B45" s="131"/>
      <c r="C45" s="138"/>
      <c r="D45" s="130"/>
      <c r="E45" s="130"/>
      <c r="F45" s="138"/>
      <c r="G45" s="138"/>
      <c r="H45" s="130"/>
      <c r="I45" s="131"/>
      <c r="J45" s="131"/>
      <c r="K45" s="131"/>
      <c r="L45" s="131"/>
      <c r="M45" s="132"/>
    </row>
    <row r="46" spans="1:13" ht="14.45" customHeight="1" x14ac:dyDescent="0.25">
      <c r="A46" s="126"/>
      <c r="B46" s="281"/>
      <c r="C46" s="151">
        <f>ROUND(SUM(C48:C48),3)</f>
        <v>0</v>
      </c>
      <c r="D46" s="139"/>
      <c r="E46" s="130"/>
      <c r="F46" s="130"/>
      <c r="G46" s="130"/>
      <c r="H46" s="169"/>
      <c r="I46" s="151">
        <f>C46-SUM(J46:L46)</f>
        <v>0</v>
      </c>
      <c r="J46" s="151">
        <f>ROUND(SUM(J48:J48),3)</f>
        <v>0</v>
      </c>
      <c r="K46" s="151">
        <f t="shared" ref="K46:L46" si="1">ROUND(SUM(K48:K48),3)</f>
        <v>0</v>
      </c>
      <c r="L46" s="151">
        <f t="shared" si="1"/>
        <v>0</v>
      </c>
      <c r="M46" s="129"/>
    </row>
    <row r="47" spans="1:13" ht="14.45" customHeight="1" x14ac:dyDescent="0.25">
      <c r="A47" s="126"/>
      <c r="B47" s="281" t="s">
        <v>264</v>
      </c>
      <c r="C47" s="25" t="s">
        <v>34</v>
      </c>
      <c r="D47" s="139"/>
      <c r="E47" s="130"/>
      <c r="F47" s="130"/>
      <c r="G47" s="130"/>
      <c r="H47" s="169"/>
      <c r="I47" s="146" t="s">
        <v>146</v>
      </c>
      <c r="J47" s="146" t="s">
        <v>73</v>
      </c>
      <c r="K47" s="146" t="s">
        <v>75</v>
      </c>
      <c r="L47" s="146" t="s">
        <v>76</v>
      </c>
      <c r="M47" s="129"/>
    </row>
    <row r="48" spans="1:13" x14ac:dyDescent="0.25">
      <c r="A48" s="134"/>
      <c r="B48" s="63" t="s">
        <v>265</v>
      </c>
      <c r="C48" s="149">
        <f>Anlagevermögen!$M$26</f>
        <v>0</v>
      </c>
      <c r="D48" s="139"/>
      <c r="E48" s="130"/>
      <c r="F48" s="130"/>
      <c r="G48" s="130"/>
      <c r="H48" s="169"/>
      <c r="I48" s="176"/>
      <c r="J48" s="99">
        <f>C48</f>
        <v>0</v>
      </c>
      <c r="K48" s="176"/>
      <c r="L48" s="176"/>
      <c r="M48" s="129"/>
    </row>
    <row r="49" spans="1:13" ht="7.15" customHeight="1" x14ac:dyDescent="0.25">
      <c r="A49" s="126"/>
      <c r="B49" s="131"/>
      <c r="C49" s="138"/>
      <c r="D49" s="130"/>
      <c r="E49" s="130"/>
      <c r="F49" s="138"/>
      <c r="G49" s="138"/>
      <c r="H49" s="130"/>
      <c r="I49" s="131"/>
      <c r="J49" s="131"/>
      <c r="K49" s="131"/>
      <c r="L49" s="131"/>
      <c r="M49" s="132"/>
    </row>
    <row r="50" spans="1:13" ht="14.45" customHeight="1" x14ac:dyDescent="0.25">
      <c r="A50" s="126"/>
      <c r="B50" s="281"/>
      <c r="C50" s="151">
        <f>ROUND(SUM(C52:C54),3)</f>
        <v>2100</v>
      </c>
      <c r="D50" s="168"/>
      <c r="E50" s="130"/>
      <c r="F50" s="130"/>
      <c r="G50" s="130"/>
      <c r="H50" s="169"/>
      <c r="I50" s="151">
        <f>C50-SUM(J50:L50)</f>
        <v>0</v>
      </c>
      <c r="J50" s="151">
        <f>ROUND(SUM(J52:J54),3)</f>
        <v>2100</v>
      </c>
      <c r="K50" s="151">
        <f t="shared" ref="K50" si="2">ROUND(SUM(K52:K54),3)</f>
        <v>0</v>
      </c>
      <c r="L50" s="151">
        <f>ROUND(SUM(L52:L54),3)</f>
        <v>0</v>
      </c>
      <c r="M50" s="129"/>
    </row>
    <row r="51" spans="1:13" ht="14.45" customHeight="1" x14ac:dyDescent="0.25">
      <c r="A51" s="126"/>
      <c r="B51" s="281" t="s">
        <v>88</v>
      </c>
      <c r="C51" s="4" t="s">
        <v>34</v>
      </c>
      <c r="D51" s="4" t="s">
        <v>71</v>
      </c>
      <c r="E51" s="139"/>
      <c r="F51" s="130"/>
      <c r="G51" s="130"/>
      <c r="H51" s="169"/>
      <c r="I51" s="146" t="s">
        <v>146</v>
      </c>
      <c r="J51" s="146" t="s">
        <v>73</v>
      </c>
      <c r="K51" s="146" t="s">
        <v>75</v>
      </c>
      <c r="L51" s="146" t="s">
        <v>76</v>
      </c>
      <c r="M51" s="129"/>
    </row>
    <row r="52" spans="1:13" x14ac:dyDescent="0.25">
      <c r="A52" s="134"/>
      <c r="B52" s="63" t="s">
        <v>36</v>
      </c>
      <c r="C52" s="54">
        <v>0</v>
      </c>
      <c r="D52" s="187"/>
      <c r="E52" s="130"/>
      <c r="F52" s="130"/>
      <c r="G52" s="130"/>
      <c r="H52" s="169"/>
      <c r="I52" s="149">
        <f>ROUND($C52*I$10,3)</f>
        <v>0</v>
      </c>
      <c r="J52" s="149">
        <f>C52-I52-K52-L52</f>
        <v>0</v>
      </c>
      <c r="K52" s="149">
        <f>ROUND($C52*K$10,3)</f>
        <v>0</v>
      </c>
      <c r="L52" s="149">
        <f>ROUND($C52*L$10,3)</f>
        <v>0</v>
      </c>
      <c r="M52" s="129"/>
    </row>
    <row r="53" spans="1:13" x14ac:dyDescent="0.25">
      <c r="A53" s="134"/>
      <c r="B53" s="63" t="s">
        <v>154</v>
      </c>
      <c r="C53" s="99">
        <f>MIN(Anlagevermögen!$M$20,ROUNDUP(Anlagevermögen!$M$20*$D54/$D53,-1))</f>
        <v>2040</v>
      </c>
      <c r="D53" s="180">
        <v>0.96</v>
      </c>
      <c r="E53" s="139"/>
      <c r="F53" s="130"/>
      <c r="G53" s="130"/>
      <c r="H53" s="169"/>
      <c r="I53" s="176"/>
      <c r="J53" s="99">
        <f>C53</f>
        <v>2040</v>
      </c>
      <c r="K53" s="176"/>
      <c r="L53" s="176"/>
      <c r="M53" s="129"/>
    </row>
    <row r="54" spans="1:13" x14ac:dyDescent="0.25">
      <c r="A54" s="134"/>
      <c r="B54" s="63" t="s">
        <v>155</v>
      </c>
      <c r="C54" s="99">
        <f>Anlagevermögen!$M$20-C53</f>
        <v>60</v>
      </c>
      <c r="D54" s="185">
        <f>Fertigung!$H$23</f>
        <v>0.93181818181818177</v>
      </c>
      <c r="E54" s="139"/>
      <c r="F54" s="130"/>
      <c r="G54" s="130"/>
      <c r="H54" s="169"/>
      <c r="I54" s="176"/>
      <c r="J54" s="99">
        <f>C54</f>
        <v>60</v>
      </c>
      <c r="K54" s="176"/>
      <c r="L54" s="176"/>
      <c r="M54" s="129"/>
    </row>
    <row r="55" spans="1:13" ht="7.15" customHeight="1" x14ac:dyDescent="0.25">
      <c r="A55" s="126"/>
      <c r="B55" s="131"/>
      <c r="C55" s="138"/>
      <c r="D55" s="130"/>
      <c r="E55" s="130"/>
      <c r="F55" s="138"/>
      <c r="G55" s="138"/>
      <c r="H55" s="130"/>
      <c r="I55" s="131"/>
      <c r="J55" s="131"/>
      <c r="K55" s="131"/>
      <c r="L55" s="131"/>
      <c r="M55" s="132"/>
    </row>
    <row r="56" spans="1:13" ht="14.45" customHeight="1" x14ac:dyDescent="0.25">
      <c r="A56" s="126"/>
      <c r="B56" s="281"/>
      <c r="C56" s="151">
        <f>ROUND(SUM(C58:C60),3)</f>
        <v>2000</v>
      </c>
      <c r="D56" s="168"/>
      <c r="E56" s="130"/>
      <c r="F56" s="130"/>
      <c r="G56" s="130"/>
      <c r="H56" s="169"/>
      <c r="I56" s="151">
        <f>C56-SUM(J56:L56)</f>
        <v>0</v>
      </c>
      <c r="J56" s="151">
        <f>ROUND(SUM(J58:J60),3)</f>
        <v>2000</v>
      </c>
      <c r="K56" s="151">
        <f t="shared" ref="K56" si="3">ROUND(SUM(K58:K60),3)</f>
        <v>0</v>
      </c>
      <c r="L56" s="151">
        <f>ROUND(SUM(L58:L60),3)</f>
        <v>0</v>
      </c>
      <c r="M56" s="129"/>
    </row>
    <row r="57" spans="1:13" ht="14.45" customHeight="1" x14ac:dyDescent="0.25">
      <c r="A57" s="126"/>
      <c r="B57" s="281" t="s">
        <v>156</v>
      </c>
      <c r="C57" s="4" t="s">
        <v>34</v>
      </c>
      <c r="D57" s="4" t="s">
        <v>157</v>
      </c>
      <c r="E57" s="139"/>
      <c r="F57" s="130"/>
      <c r="G57" s="130"/>
      <c r="H57" s="169"/>
      <c r="I57" s="146" t="s">
        <v>146</v>
      </c>
      <c r="J57" s="146" t="s">
        <v>73</v>
      </c>
      <c r="K57" s="146" t="s">
        <v>75</v>
      </c>
      <c r="L57" s="146" t="s">
        <v>76</v>
      </c>
      <c r="M57" s="129"/>
    </row>
    <row r="58" spans="1:13" x14ac:dyDescent="0.25">
      <c r="A58" s="134"/>
      <c r="B58" s="148" t="s">
        <v>158</v>
      </c>
      <c r="C58" s="99">
        <f>IF($D34&gt;1,$D$58,0)</f>
        <v>0</v>
      </c>
      <c r="D58" s="188">
        <f>'Aktuelle Wirtschaftsdaten'!$J$12</f>
        <v>1000</v>
      </c>
      <c r="E58" s="139"/>
      <c r="F58" s="130"/>
      <c r="G58" s="130"/>
      <c r="H58" s="169"/>
      <c r="I58" s="176"/>
      <c r="J58" s="99">
        <f>C58</f>
        <v>0</v>
      </c>
      <c r="K58" s="176"/>
      <c r="L58" s="176"/>
      <c r="M58" s="129"/>
    </row>
    <row r="59" spans="1:13" x14ac:dyDescent="0.25">
      <c r="A59" s="134"/>
      <c r="B59" s="148" t="s">
        <v>154</v>
      </c>
      <c r="C59" s="99">
        <f>MIN(Anlagevermögen!$M$21,ROUNDUP(Anlagevermögen!$M$21*$D60/$D59,-1))</f>
        <v>1950</v>
      </c>
      <c r="D59" s="180">
        <v>0.96</v>
      </c>
      <c r="E59" s="139"/>
      <c r="F59" s="130"/>
      <c r="G59" s="130"/>
      <c r="H59" s="169"/>
      <c r="I59" s="176"/>
      <c r="J59" s="99">
        <f>C59</f>
        <v>1950</v>
      </c>
      <c r="K59" s="176"/>
      <c r="L59" s="176"/>
      <c r="M59" s="129"/>
    </row>
    <row r="60" spans="1:13" x14ac:dyDescent="0.25">
      <c r="A60" s="134"/>
      <c r="B60" s="148" t="s">
        <v>155</v>
      </c>
      <c r="C60" s="99">
        <f>Anlagevermögen!$M$21-C59</f>
        <v>50</v>
      </c>
      <c r="D60" s="185">
        <f>Fertigung!$H$23</f>
        <v>0.93181818181818177</v>
      </c>
      <c r="E60" s="139"/>
      <c r="F60" s="130"/>
      <c r="G60" s="130"/>
      <c r="H60" s="169"/>
      <c r="I60" s="176"/>
      <c r="J60" s="99">
        <f>C60</f>
        <v>50</v>
      </c>
      <c r="K60" s="176"/>
      <c r="L60" s="176"/>
      <c r="M60" s="129"/>
    </row>
    <row r="61" spans="1:13" ht="7.15" customHeight="1" x14ac:dyDescent="0.25">
      <c r="A61" s="126"/>
      <c r="B61" s="131"/>
      <c r="C61" s="138"/>
      <c r="D61" s="130"/>
      <c r="E61" s="130"/>
      <c r="F61" s="138"/>
      <c r="G61" s="138"/>
      <c r="H61" s="130"/>
      <c r="I61" s="131"/>
      <c r="J61" s="131"/>
      <c r="K61" s="131"/>
      <c r="L61" s="131"/>
      <c r="M61" s="132"/>
    </row>
    <row r="62" spans="1:13" ht="14.45" customHeight="1" x14ac:dyDescent="0.25">
      <c r="A62" s="126"/>
      <c r="B62" s="281"/>
      <c r="C62" s="153">
        <f>ROUND(SUM(C64:C73),3)</f>
        <v>525.63199999999995</v>
      </c>
      <c r="D62" s="172"/>
      <c r="E62" s="169"/>
      <c r="F62" s="151">
        <f>C62-G62</f>
        <v>525.63199999999995</v>
      </c>
      <c r="G62" s="153">
        <f>ROUND(SUM(G64:G73),3)</f>
        <v>0</v>
      </c>
      <c r="H62" s="139"/>
      <c r="I62" s="130"/>
      <c r="J62" s="130"/>
      <c r="K62" s="130"/>
      <c r="L62" s="130"/>
      <c r="M62" s="132"/>
    </row>
    <row r="63" spans="1:13" ht="14.45" customHeight="1" x14ac:dyDescent="0.25">
      <c r="A63" s="126"/>
      <c r="B63" s="281" t="s">
        <v>159</v>
      </c>
      <c r="C63" s="25" t="s">
        <v>34</v>
      </c>
      <c r="D63" s="25" t="s">
        <v>52</v>
      </c>
      <c r="E63" s="137"/>
      <c r="F63" s="146" t="s">
        <v>305</v>
      </c>
      <c r="G63" s="146" t="s">
        <v>61</v>
      </c>
      <c r="H63" s="139"/>
      <c r="I63" s="130"/>
      <c r="J63" s="130"/>
      <c r="K63" s="130"/>
      <c r="L63" s="130"/>
      <c r="M63" s="132"/>
    </row>
    <row r="64" spans="1:13" x14ac:dyDescent="0.25">
      <c r="A64" s="134"/>
      <c r="B64" s="63" t="s">
        <v>409</v>
      </c>
      <c r="C64" s="99">
        <f>(Fertigung!$D$6-Vorräte!$F$15)*$D64/1000</f>
        <v>205</v>
      </c>
      <c r="D64" s="178">
        <f>'Aktuelle Wirtschaftsdaten'!$O32</f>
        <v>5</v>
      </c>
      <c r="E64" s="137"/>
      <c r="F64" s="149">
        <f>C64</f>
        <v>205</v>
      </c>
      <c r="G64" s="176"/>
      <c r="H64" s="139"/>
      <c r="I64" s="130"/>
      <c r="J64" s="130"/>
      <c r="K64" s="130"/>
      <c r="L64" s="130"/>
      <c r="M64" s="132"/>
    </row>
    <row r="65" spans="1:13" x14ac:dyDescent="0.25">
      <c r="A65" s="134"/>
      <c r="B65" s="63" t="s">
        <v>408</v>
      </c>
      <c r="C65" s="99">
        <f>ErlösRechnung!$E$10*$D65/1000</f>
        <v>320.63200000000001</v>
      </c>
      <c r="D65" s="178">
        <f>'Aktuelle Wirtschaftsdaten'!$O33</f>
        <v>8</v>
      </c>
      <c r="E65" s="137"/>
      <c r="F65" s="149">
        <f>C65</f>
        <v>320.63200000000001</v>
      </c>
      <c r="G65" s="176"/>
      <c r="H65" s="139"/>
      <c r="I65" s="130"/>
      <c r="J65" s="130"/>
      <c r="K65" s="130"/>
      <c r="L65" s="130"/>
      <c r="M65" s="132"/>
    </row>
    <row r="66" spans="1:13" x14ac:dyDescent="0.25">
      <c r="A66" s="134"/>
      <c r="B66" s="63" t="s">
        <v>365</v>
      </c>
      <c r="C66" s="99">
        <f>Vorräte!$F$15*$D66/1000</f>
        <v>0</v>
      </c>
      <c r="D66" s="178">
        <f>'Aktuelle Wirtschaftsdaten'!$O34</f>
        <v>10</v>
      </c>
      <c r="E66" s="137"/>
      <c r="F66" s="149">
        <f>C66</f>
        <v>0</v>
      </c>
      <c r="G66" s="176"/>
      <c r="H66" s="139"/>
      <c r="I66" s="130"/>
      <c r="J66" s="130"/>
      <c r="K66" s="130"/>
      <c r="L66" s="130"/>
      <c r="M66" s="132"/>
    </row>
    <row r="67" spans="1:13" x14ac:dyDescent="0.25">
      <c r="A67" s="134"/>
      <c r="B67" s="63" t="s">
        <v>366</v>
      </c>
      <c r="C67" s="99">
        <f>ErlösRechnung!$E$11*$D67/1000</f>
        <v>0</v>
      </c>
      <c r="D67" s="178">
        <f>'Aktuelle Wirtschaftsdaten'!$O35</f>
        <v>12</v>
      </c>
      <c r="E67" s="137"/>
      <c r="F67" s="149">
        <f>C67</f>
        <v>0</v>
      </c>
      <c r="G67" s="176"/>
      <c r="H67" s="139"/>
      <c r="I67" s="130"/>
      <c r="J67" s="130"/>
      <c r="K67" s="130"/>
      <c r="L67" s="130"/>
      <c r="M67" s="132"/>
    </row>
    <row r="68" spans="1:13" x14ac:dyDescent="0.25">
      <c r="A68" s="134"/>
      <c r="B68" s="63" t="s">
        <v>414</v>
      </c>
      <c r="C68" s="149">
        <f>ABS(Vorräte!$C$16)*$D68/1000</f>
        <v>0</v>
      </c>
      <c r="D68" s="178">
        <f>'Aktuelle Wirtschaftsdaten'!$O36</f>
        <v>16</v>
      </c>
      <c r="E68" s="137"/>
      <c r="F68" s="149">
        <f>C68</f>
        <v>0</v>
      </c>
      <c r="G68" s="176"/>
      <c r="H68" s="139"/>
      <c r="I68" s="130"/>
      <c r="J68" s="130"/>
      <c r="K68" s="130"/>
      <c r="L68" s="130"/>
      <c r="M68" s="132"/>
    </row>
    <row r="69" spans="1:13" x14ac:dyDescent="0.25">
      <c r="A69" s="134"/>
      <c r="B69" s="63" t="s">
        <v>410</v>
      </c>
      <c r="C69" s="99">
        <f>(Fertigung!$E$6-Vorräte!$L$15)*$D69/1000</f>
        <v>0</v>
      </c>
      <c r="D69" s="178">
        <f>'Aktuelle Wirtschaftsdaten'!$O37</f>
        <v>6</v>
      </c>
      <c r="E69" s="137"/>
      <c r="F69" s="176"/>
      <c r="G69" s="149">
        <f>C69</f>
        <v>0</v>
      </c>
      <c r="H69" s="139"/>
      <c r="I69" s="130"/>
      <c r="J69" s="130"/>
      <c r="K69" s="130"/>
      <c r="L69" s="130"/>
      <c r="M69" s="132"/>
    </row>
    <row r="70" spans="1:13" x14ac:dyDescent="0.25">
      <c r="A70" s="134"/>
      <c r="B70" s="63" t="s">
        <v>411</v>
      </c>
      <c r="C70" s="99">
        <f>ErlösRechnung!$E$23*$D70/1000</f>
        <v>0</v>
      </c>
      <c r="D70" s="178">
        <f>'Aktuelle Wirtschaftsdaten'!$O38</f>
        <v>9.6</v>
      </c>
      <c r="E70" s="137"/>
      <c r="F70" s="176"/>
      <c r="G70" s="149">
        <f>C70</f>
        <v>0</v>
      </c>
      <c r="H70" s="139"/>
      <c r="I70" s="130"/>
      <c r="J70" s="130"/>
      <c r="K70" s="130"/>
      <c r="L70" s="130"/>
      <c r="M70" s="132"/>
    </row>
    <row r="71" spans="1:13" x14ac:dyDescent="0.25">
      <c r="A71" s="134"/>
      <c r="B71" s="63" t="s">
        <v>367</v>
      </c>
      <c r="C71" s="99">
        <f>Vorräte!$L$15*$D71/1000</f>
        <v>0</v>
      </c>
      <c r="D71" s="178">
        <f>'Aktuelle Wirtschaftsdaten'!$O39</f>
        <v>12.5</v>
      </c>
      <c r="E71" s="137"/>
      <c r="F71" s="176"/>
      <c r="G71" s="149">
        <f>C71</f>
        <v>0</v>
      </c>
      <c r="H71" s="139"/>
      <c r="I71" s="130"/>
      <c r="J71" s="130"/>
      <c r="K71" s="130"/>
      <c r="L71" s="130"/>
      <c r="M71" s="132"/>
    </row>
    <row r="72" spans="1:13" x14ac:dyDescent="0.25">
      <c r="A72" s="134"/>
      <c r="B72" s="63" t="s">
        <v>368</v>
      </c>
      <c r="C72" s="99">
        <f>ErlösRechnung!$E$24*$D72/1000</f>
        <v>0</v>
      </c>
      <c r="D72" s="178">
        <f>'Aktuelle Wirtschaftsdaten'!$O40</f>
        <v>15</v>
      </c>
      <c r="E72" s="137"/>
      <c r="F72" s="176"/>
      <c r="G72" s="149">
        <f>C72</f>
        <v>0</v>
      </c>
      <c r="H72" s="139"/>
      <c r="I72" s="130"/>
      <c r="J72" s="130"/>
      <c r="K72" s="130"/>
      <c r="L72" s="130"/>
      <c r="M72" s="132"/>
    </row>
    <row r="73" spans="1:13" x14ac:dyDescent="0.25">
      <c r="A73" s="134"/>
      <c r="B73" s="63" t="s">
        <v>415</v>
      </c>
      <c r="C73" s="149">
        <f>ABS(Vorräte!$I$16)*$D73/1000</f>
        <v>0</v>
      </c>
      <c r="D73" s="178">
        <f>'Aktuelle Wirtschaftsdaten'!$O41</f>
        <v>20</v>
      </c>
      <c r="E73" s="137"/>
      <c r="F73" s="176"/>
      <c r="G73" s="149">
        <f>C73</f>
        <v>0</v>
      </c>
      <c r="H73" s="139"/>
      <c r="I73" s="130"/>
      <c r="J73" s="130"/>
      <c r="K73" s="130"/>
      <c r="L73" s="130"/>
      <c r="M73" s="132"/>
    </row>
    <row r="74" spans="1:13" ht="7.15" customHeight="1" x14ac:dyDescent="0.25">
      <c r="A74" s="126"/>
      <c r="B74" s="131"/>
      <c r="C74" s="138"/>
      <c r="D74" s="130"/>
      <c r="E74" s="130"/>
      <c r="F74" s="138"/>
      <c r="G74" s="138"/>
      <c r="H74" s="130"/>
      <c r="I74" s="131"/>
      <c r="J74" s="131"/>
      <c r="K74" s="131"/>
      <c r="L74" s="131"/>
      <c r="M74" s="132"/>
    </row>
    <row r="75" spans="1:13" ht="14.45" customHeight="1" x14ac:dyDescent="0.25">
      <c r="A75" s="126"/>
      <c r="B75" s="281"/>
      <c r="C75" s="153">
        <f>ROUND(SUM(C77:C81),3)</f>
        <v>4100</v>
      </c>
      <c r="D75" s="168"/>
      <c r="E75" s="169"/>
      <c r="F75" s="151">
        <f>C75-SUM(G75:L75)</f>
        <v>3600</v>
      </c>
      <c r="G75" s="151">
        <f>ROUND(SUM(G77:G81),3)</f>
        <v>0</v>
      </c>
      <c r="H75" s="137"/>
      <c r="I75" s="151">
        <f>SUM(I77:I77)</f>
        <v>0</v>
      </c>
      <c r="J75" s="151">
        <f>SUM(J77:J77)</f>
        <v>0</v>
      </c>
      <c r="K75" s="151">
        <f>SUM(K77:K77)</f>
        <v>500</v>
      </c>
      <c r="L75" s="151">
        <f>SUM(L77:L77)</f>
        <v>0</v>
      </c>
      <c r="M75" s="129"/>
    </row>
    <row r="76" spans="1:13" ht="14.45" customHeight="1" x14ac:dyDescent="0.25">
      <c r="A76" s="126"/>
      <c r="B76" s="281" t="s">
        <v>160</v>
      </c>
      <c r="C76" s="25" t="s">
        <v>34</v>
      </c>
      <c r="D76" s="4" t="s">
        <v>65</v>
      </c>
      <c r="E76" s="137"/>
      <c r="F76" s="146" t="s">
        <v>305</v>
      </c>
      <c r="G76" s="146" t="s">
        <v>61</v>
      </c>
      <c r="H76" s="137"/>
      <c r="I76" s="146" t="s">
        <v>146</v>
      </c>
      <c r="J76" s="146" t="s">
        <v>73</v>
      </c>
      <c r="K76" s="146" t="s">
        <v>75</v>
      </c>
      <c r="L76" s="146" t="s">
        <v>76</v>
      </c>
      <c r="M76" s="129"/>
    </row>
    <row r="77" spans="1:13" x14ac:dyDescent="0.25">
      <c r="A77" s="134"/>
      <c r="B77" s="63" t="s">
        <v>161</v>
      </c>
      <c r="C77" s="54">
        <v>500</v>
      </c>
      <c r="D77" s="177"/>
      <c r="E77" s="169"/>
      <c r="F77" s="189"/>
      <c r="G77" s="189"/>
      <c r="H77" s="137"/>
      <c r="I77" s="176"/>
      <c r="J77" s="176"/>
      <c r="K77" s="99">
        <f>C77</f>
        <v>500</v>
      </c>
      <c r="L77" s="176"/>
      <c r="M77" s="129"/>
    </row>
    <row r="78" spans="1:13" x14ac:dyDescent="0.25">
      <c r="A78" s="134"/>
      <c r="B78" s="63" t="s">
        <v>311</v>
      </c>
      <c r="C78" s="54">
        <v>3600</v>
      </c>
      <c r="D78" s="168"/>
      <c r="E78" s="169"/>
      <c r="F78" s="149">
        <f>C78</f>
        <v>3600</v>
      </c>
      <c r="G78" s="176"/>
      <c r="H78" s="139"/>
      <c r="I78" s="131"/>
      <c r="J78" s="131"/>
      <c r="K78" s="131"/>
      <c r="L78" s="131"/>
      <c r="M78" s="132"/>
    </row>
    <row r="79" spans="1:13" x14ac:dyDescent="0.25">
      <c r="A79" s="134"/>
      <c r="B79" s="63" t="s">
        <v>312</v>
      </c>
      <c r="C79" s="54">
        <v>0</v>
      </c>
      <c r="D79" s="161">
        <f>'Aktuelle Wirtschaftsdaten'!$E$40</f>
        <v>1.45</v>
      </c>
      <c r="E79" s="137"/>
      <c r="F79" s="149">
        <f>C79</f>
        <v>0</v>
      </c>
      <c r="G79" s="176"/>
      <c r="H79" s="139"/>
      <c r="I79" s="130"/>
      <c r="J79" s="130"/>
      <c r="K79" s="130"/>
      <c r="L79" s="130"/>
      <c r="M79" s="132"/>
    </row>
    <row r="80" spans="1:13" x14ac:dyDescent="0.25">
      <c r="A80" s="134"/>
      <c r="B80" s="63" t="s">
        <v>162</v>
      </c>
      <c r="C80" s="54">
        <v>0</v>
      </c>
      <c r="D80" s="187"/>
      <c r="E80" s="169"/>
      <c r="F80" s="176"/>
      <c r="G80" s="149">
        <f>C80</f>
        <v>0</v>
      </c>
      <c r="H80" s="139"/>
      <c r="I80" s="130"/>
      <c r="J80" s="130"/>
      <c r="K80" s="130"/>
      <c r="L80" s="130"/>
      <c r="M80" s="132"/>
    </row>
    <row r="81" spans="1:13" x14ac:dyDescent="0.25">
      <c r="A81" s="134"/>
      <c r="B81" s="63" t="s">
        <v>163</v>
      </c>
      <c r="C81" s="54">
        <v>0</v>
      </c>
      <c r="D81" s="161">
        <f>D79</f>
        <v>1.45</v>
      </c>
      <c r="E81" s="137"/>
      <c r="F81" s="176"/>
      <c r="G81" s="149">
        <f>C81</f>
        <v>0</v>
      </c>
      <c r="H81" s="139"/>
      <c r="I81" s="130"/>
      <c r="J81" s="130"/>
      <c r="K81" s="130"/>
      <c r="L81" s="130"/>
      <c r="M81" s="132"/>
    </row>
    <row r="82" spans="1:13" ht="7.15" customHeight="1" x14ac:dyDescent="0.25">
      <c r="A82" s="126"/>
      <c r="B82" s="131"/>
      <c r="C82" s="138"/>
      <c r="D82" s="130"/>
      <c r="E82" s="130"/>
      <c r="F82" s="138"/>
      <c r="G82" s="138"/>
      <c r="H82" s="130"/>
      <c r="I82" s="131"/>
      <c r="J82" s="131"/>
      <c r="K82" s="131"/>
      <c r="L82" s="131"/>
      <c r="M82" s="132"/>
    </row>
    <row r="83" spans="1:13" ht="14.45" customHeight="1" x14ac:dyDescent="0.25">
      <c r="A83" s="126"/>
      <c r="B83" s="281"/>
      <c r="C83" s="151">
        <f>SUM(C85:C87)</f>
        <v>400</v>
      </c>
      <c r="D83" s="139"/>
      <c r="E83" s="169"/>
      <c r="F83" s="151">
        <f>SUM(F85:F87)</f>
        <v>200</v>
      </c>
      <c r="G83" s="151">
        <f>SUM(G85:G87)</f>
        <v>0</v>
      </c>
      <c r="H83" s="137"/>
      <c r="I83" s="151">
        <f>SUM(I85:I85)</f>
        <v>0</v>
      </c>
      <c r="J83" s="151">
        <f>SUM(J85:J85)</f>
        <v>0</v>
      </c>
      <c r="K83" s="151">
        <f>SUM(K85:K85)</f>
        <v>200</v>
      </c>
      <c r="L83" s="151">
        <f>SUM(L85:L85)</f>
        <v>0</v>
      </c>
      <c r="M83" s="129"/>
    </row>
    <row r="84" spans="1:13" ht="14.45" customHeight="1" x14ac:dyDescent="0.25">
      <c r="A84" s="126"/>
      <c r="B84" s="281" t="s">
        <v>164</v>
      </c>
      <c r="C84" s="25" t="s">
        <v>34</v>
      </c>
      <c r="D84" s="139"/>
      <c r="E84" s="169"/>
      <c r="F84" s="146" t="s">
        <v>305</v>
      </c>
      <c r="G84" s="146" t="s">
        <v>61</v>
      </c>
      <c r="H84" s="137"/>
      <c r="I84" s="146" t="s">
        <v>146</v>
      </c>
      <c r="J84" s="146" t="s">
        <v>73</v>
      </c>
      <c r="K84" s="146" t="s">
        <v>75</v>
      </c>
      <c r="L84" s="146" t="s">
        <v>76</v>
      </c>
      <c r="M84" s="129"/>
    </row>
    <row r="85" spans="1:13" x14ac:dyDescent="0.25">
      <c r="A85" s="134"/>
      <c r="B85" s="63" t="s">
        <v>165</v>
      </c>
      <c r="C85" s="54">
        <v>200</v>
      </c>
      <c r="D85" s="139"/>
      <c r="E85" s="169"/>
      <c r="F85" s="189"/>
      <c r="G85" s="189"/>
      <c r="H85" s="137"/>
      <c r="I85" s="176"/>
      <c r="J85" s="176"/>
      <c r="K85" s="99">
        <f>C85</f>
        <v>200</v>
      </c>
      <c r="L85" s="176"/>
      <c r="M85" s="129"/>
    </row>
    <row r="86" spans="1:13" x14ac:dyDescent="0.25">
      <c r="A86" s="134"/>
      <c r="B86" s="63" t="s">
        <v>313</v>
      </c>
      <c r="C86" s="54">
        <v>200</v>
      </c>
      <c r="D86" s="139"/>
      <c r="E86" s="169"/>
      <c r="F86" s="149">
        <f>C86</f>
        <v>200</v>
      </c>
      <c r="G86" s="176"/>
      <c r="H86" s="139"/>
      <c r="I86" s="131"/>
      <c r="J86" s="131"/>
      <c r="K86" s="131"/>
      <c r="L86" s="131"/>
      <c r="M86" s="132"/>
    </row>
    <row r="87" spans="1:13" x14ac:dyDescent="0.25">
      <c r="A87" s="134"/>
      <c r="B87" s="63" t="s">
        <v>166</v>
      </c>
      <c r="C87" s="54">
        <v>0</v>
      </c>
      <c r="D87" s="139"/>
      <c r="E87" s="169"/>
      <c r="F87" s="176"/>
      <c r="G87" s="149">
        <f>C87</f>
        <v>0</v>
      </c>
      <c r="H87" s="139"/>
      <c r="I87" s="130"/>
      <c r="J87" s="130"/>
      <c r="K87" s="130"/>
      <c r="L87" s="130"/>
      <c r="M87" s="132"/>
    </row>
    <row r="88" spans="1:13" ht="7.15" customHeight="1" x14ac:dyDescent="0.25">
      <c r="A88" s="126"/>
      <c r="B88" s="131"/>
      <c r="C88" s="138"/>
      <c r="D88" s="130"/>
      <c r="E88" s="130"/>
      <c r="F88" s="138"/>
      <c r="G88" s="138"/>
      <c r="H88" s="130"/>
      <c r="I88" s="131"/>
      <c r="J88" s="131"/>
      <c r="K88" s="131"/>
      <c r="L88" s="131"/>
      <c r="M88" s="132"/>
    </row>
    <row r="89" spans="1:13" ht="14.45" customHeight="1" x14ac:dyDescent="0.25">
      <c r="A89" s="126"/>
      <c r="B89" s="281"/>
      <c r="C89" s="151">
        <f>ROUND(SUM(C91:C94),3)</f>
        <v>1005.4</v>
      </c>
      <c r="D89" s="139"/>
      <c r="E89" s="169"/>
      <c r="F89" s="151">
        <f>C89-G89</f>
        <v>1005.4</v>
      </c>
      <c r="G89" s="151">
        <f>ROUND(SUM(G91:G94),3)</f>
        <v>0</v>
      </c>
      <c r="H89" s="139"/>
      <c r="I89" s="130"/>
      <c r="J89" s="130"/>
      <c r="K89" s="130"/>
      <c r="L89" s="130"/>
      <c r="M89" s="132"/>
    </row>
    <row r="90" spans="1:13" ht="14.45" customHeight="1" x14ac:dyDescent="0.25">
      <c r="A90" s="126"/>
      <c r="B90" s="281" t="s">
        <v>211</v>
      </c>
      <c r="C90" s="25" t="s">
        <v>34</v>
      </c>
      <c r="D90" s="139"/>
      <c r="E90" s="169"/>
      <c r="F90" s="146" t="s">
        <v>305</v>
      </c>
      <c r="G90" s="146" t="s">
        <v>61</v>
      </c>
      <c r="H90" s="139"/>
      <c r="I90" s="130"/>
      <c r="J90" s="130"/>
      <c r="K90" s="130"/>
      <c r="L90" s="130"/>
      <c r="M90" s="132"/>
    </row>
    <row r="91" spans="1:13" x14ac:dyDescent="0.25">
      <c r="A91" s="134"/>
      <c r="B91" s="63" t="s">
        <v>314</v>
      </c>
      <c r="C91" s="160">
        <f>-Anlagevermögen!$D$10</f>
        <v>631.19999999999993</v>
      </c>
      <c r="D91" s="139"/>
      <c r="E91" s="169"/>
      <c r="F91" s="149">
        <f>C91</f>
        <v>631.19999999999993</v>
      </c>
      <c r="G91" s="176"/>
      <c r="H91" s="139"/>
      <c r="I91" s="130"/>
      <c r="J91" s="130"/>
      <c r="K91" s="130"/>
      <c r="L91" s="130"/>
      <c r="M91" s="132"/>
    </row>
    <row r="92" spans="1:13" x14ac:dyDescent="0.25">
      <c r="A92" s="134"/>
      <c r="B92" s="63" t="s">
        <v>315</v>
      </c>
      <c r="C92" s="160">
        <f>-Anlagevermögen!$E$10</f>
        <v>374.20000000000005</v>
      </c>
      <c r="D92" s="139"/>
      <c r="E92" s="169"/>
      <c r="F92" s="149">
        <f>C92</f>
        <v>374.20000000000005</v>
      </c>
      <c r="G92" s="176"/>
      <c r="H92" s="139"/>
      <c r="I92" s="130"/>
      <c r="J92" s="130"/>
      <c r="K92" s="130"/>
      <c r="L92" s="130"/>
      <c r="M92" s="132"/>
    </row>
    <row r="93" spans="1:13" x14ac:dyDescent="0.25">
      <c r="A93" s="134"/>
      <c r="B93" s="63" t="s">
        <v>167</v>
      </c>
      <c r="C93" s="160">
        <f>-Anlagevermögen!$F$10</f>
        <v>0</v>
      </c>
      <c r="D93" s="139"/>
      <c r="E93" s="169"/>
      <c r="F93" s="176"/>
      <c r="G93" s="149">
        <f>C93</f>
        <v>0</v>
      </c>
      <c r="H93" s="139"/>
      <c r="I93" s="130"/>
      <c r="J93" s="130"/>
      <c r="K93" s="130"/>
      <c r="L93" s="130"/>
      <c r="M93" s="132"/>
    </row>
    <row r="94" spans="1:13" x14ac:dyDescent="0.25">
      <c r="A94" s="134"/>
      <c r="B94" s="63" t="s">
        <v>168</v>
      </c>
      <c r="C94" s="160">
        <f>-Anlagevermögen!$G$10</f>
        <v>0</v>
      </c>
      <c r="D94" s="139"/>
      <c r="E94" s="169"/>
      <c r="F94" s="176"/>
      <c r="G94" s="149">
        <f>C94</f>
        <v>0</v>
      </c>
      <c r="H94" s="139"/>
      <c r="I94" s="130"/>
      <c r="J94" s="130"/>
      <c r="K94" s="130"/>
      <c r="L94" s="130"/>
      <c r="M94" s="132"/>
    </row>
    <row r="95" spans="1:13" ht="14.95" thickBot="1" x14ac:dyDescent="0.3">
      <c r="A95" s="143"/>
      <c r="B95" s="144"/>
      <c r="C95" s="144"/>
      <c r="D95" s="145"/>
      <c r="E95" s="145"/>
      <c r="F95" s="144"/>
      <c r="G95" s="144"/>
      <c r="H95" s="145"/>
      <c r="I95" s="145"/>
      <c r="J95" s="145"/>
      <c r="K95" s="145"/>
      <c r="L95" s="145"/>
      <c r="M95" s="293" t="str">
        <f>'Aktuelle Wirtschaftsdaten'!$P$47</f>
        <v>MK_GMS_Pro 2.10</v>
      </c>
    </row>
  </sheetData>
  <mergeCells count="2">
    <mergeCell ref="I4:L4"/>
    <mergeCell ref="F4:G4"/>
  </mergeCells>
  <pageMargins left="0.7" right="0.7" top="0.78740157499999996" bottom="0.78740157499999996" header="0.3" footer="0.3"/>
  <pageSetup paperSize="9" orientation="portrait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2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7.125" customWidth="1"/>
    <col min="3" max="5" width="11.125" customWidth="1"/>
    <col min="6" max="6" width="1.375" customWidth="1"/>
    <col min="7" max="7" width="37.75" customWidth="1"/>
    <col min="8" max="9" width="11.125" customWidth="1"/>
    <col min="10" max="10" width="1.375" customWidth="1"/>
  </cols>
  <sheetData>
    <row r="1" spans="1:14" ht="7.15" customHeight="1" x14ac:dyDescent="0.25">
      <c r="A1" s="122"/>
      <c r="B1" s="123"/>
      <c r="C1" s="123"/>
      <c r="D1" s="123"/>
      <c r="E1" s="123"/>
      <c r="F1" s="123"/>
      <c r="G1" s="123"/>
      <c r="H1" s="123"/>
      <c r="I1" s="124"/>
      <c r="J1" s="125"/>
    </row>
    <row r="2" spans="1:14" ht="23.45" customHeight="1" x14ac:dyDescent="0.4">
      <c r="A2" s="126"/>
      <c r="B2" s="127" t="s">
        <v>169</v>
      </c>
      <c r="C2" s="128"/>
      <c r="D2" s="128"/>
      <c r="E2" s="128"/>
      <c r="F2" s="128"/>
      <c r="G2" s="128"/>
      <c r="H2" s="32"/>
      <c r="I2" s="78">
        <f>'Aktuelle Wirtschaftsdaten'!$O$2</f>
        <v>-1</v>
      </c>
      <c r="J2" s="129"/>
    </row>
    <row r="3" spans="1:14" ht="5.95" customHeight="1" x14ac:dyDescent="0.25">
      <c r="A3" s="126"/>
      <c r="B3" s="130"/>
      <c r="C3" s="167"/>
      <c r="D3" s="167"/>
      <c r="E3" s="167"/>
      <c r="F3" s="130"/>
      <c r="G3" s="130"/>
      <c r="H3" s="167"/>
      <c r="I3" s="138"/>
      <c r="J3" s="132"/>
    </row>
    <row r="4" spans="1:14" x14ac:dyDescent="0.25">
      <c r="A4" s="126"/>
      <c r="B4" s="365" t="s">
        <v>147</v>
      </c>
      <c r="C4" s="146" t="s">
        <v>94</v>
      </c>
      <c r="D4" s="146" t="s">
        <v>305</v>
      </c>
      <c r="E4" s="146" t="s">
        <v>61</v>
      </c>
      <c r="F4" s="139"/>
      <c r="G4" s="365" t="s">
        <v>170</v>
      </c>
      <c r="H4" s="146" t="s">
        <v>305</v>
      </c>
      <c r="I4" s="146" t="s">
        <v>61</v>
      </c>
      <c r="J4" s="129"/>
    </row>
    <row r="5" spans="1:14" ht="15.65" customHeight="1" x14ac:dyDescent="0.25">
      <c r="A5" s="126"/>
      <c r="B5" s="366"/>
      <c r="C5" s="25" t="s">
        <v>34</v>
      </c>
      <c r="D5" s="25" t="s">
        <v>34</v>
      </c>
      <c r="E5" s="25" t="s">
        <v>34</v>
      </c>
      <c r="F5" s="139"/>
      <c r="G5" s="366"/>
      <c r="H5" s="12" t="s">
        <v>52</v>
      </c>
      <c r="I5" s="12" t="s">
        <v>52</v>
      </c>
      <c r="J5" s="129"/>
    </row>
    <row r="6" spans="1:14" x14ac:dyDescent="0.25">
      <c r="A6" s="134"/>
      <c r="B6" s="190" t="s">
        <v>171</v>
      </c>
      <c r="C6" s="191">
        <f>C23</f>
        <v>19416.062999999998</v>
      </c>
      <c r="D6" s="99">
        <f>D23</f>
        <v>19416.062999999998</v>
      </c>
      <c r="E6" s="99">
        <f>E23</f>
        <v>0</v>
      </c>
      <c r="F6" s="137"/>
      <c r="G6" s="190" t="s">
        <v>171</v>
      </c>
      <c r="H6" s="99">
        <f t="shared" ref="H6:I10" si="0">IF(H$20&lt;&gt;0,1000*D6/H$20,"")</f>
        <v>473.56251219512194</v>
      </c>
      <c r="I6" s="99" t="str">
        <f t="shared" si="0"/>
        <v/>
      </c>
      <c r="J6" s="129"/>
      <c r="N6" s="76" t="s">
        <v>433</v>
      </c>
    </row>
    <row r="7" spans="1:14" x14ac:dyDescent="0.25">
      <c r="A7" s="134"/>
      <c r="B7" s="190" t="s">
        <v>172</v>
      </c>
      <c r="C7" s="191">
        <f>C29</f>
        <v>110</v>
      </c>
      <c r="D7" s="99">
        <f>D29</f>
        <v>110</v>
      </c>
      <c r="E7" s="99">
        <f>E29</f>
        <v>0</v>
      </c>
      <c r="F7" s="137"/>
      <c r="G7" s="190" t="s">
        <v>172</v>
      </c>
      <c r="H7" s="99">
        <f t="shared" si="0"/>
        <v>2.6829268292682928</v>
      </c>
      <c r="I7" s="99" t="str">
        <f t="shared" si="0"/>
        <v/>
      </c>
      <c r="J7" s="129"/>
    </row>
    <row r="8" spans="1:14" x14ac:dyDescent="0.25">
      <c r="A8" s="134"/>
      <c r="B8" s="190" t="s">
        <v>173</v>
      </c>
      <c r="C8" s="191">
        <f>C35</f>
        <v>738.25900000000001</v>
      </c>
      <c r="D8" s="99">
        <f>D35</f>
        <v>738.25900000000001</v>
      </c>
      <c r="E8" s="99">
        <f>E35</f>
        <v>0</v>
      </c>
      <c r="F8" s="137"/>
      <c r="G8" s="190" t="s">
        <v>173</v>
      </c>
      <c r="H8" s="99">
        <f t="shared" si="0"/>
        <v>18.006317073170731</v>
      </c>
      <c r="I8" s="99" t="str">
        <f t="shared" si="0"/>
        <v/>
      </c>
      <c r="J8" s="129"/>
    </row>
    <row r="9" spans="1:14" x14ac:dyDescent="0.25">
      <c r="A9" s="134"/>
      <c r="B9" s="190" t="s">
        <v>174</v>
      </c>
      <c r="C9" s="191">
        <f>C41</f>
        <v>16801.61</v>
      </c>
      <c r="D9" s="99">
        <f>D41</f>
        <v>16801.61</v>
      </c>
      <c r="E9" s="99">
        <f>E41</f>
        <v>0</v>
      </c>
      <c r="F9" s="137"/>
      <c r="G9" s="190" t="s">
        <v>174</v>
      </c>
      <c r="H9" s="99">
        <f t="shared" si="0"/>
        <v>409.79536585365855</v>
      </c>
      <c r="I9" s="99" t="str">
        <f t="shared" si="0"/>
        <v/>
      </c>
      <c r="J9" s="129"/>
    </row>
    <row r="10" spans="1:14" x14ac:dyDescent="0.25">
      <c r="A10" s="134"/>
      <c r="B10" s="190" t="s">
        <v>175</v>
      </c>
      <c r="C10" s="191">
        <f>C45</f>
        <v>11773</v>
      </c>
      <c r="D10" s="99">
        <f>D45</f>
        <v>11773</v>
      </c>
      <c r="E10" s="99">
        <f>E45</f>
        <v>0</v>
      </c>
      <c r="F10" s="137"/>
      <c r="G10" s="190" t="s">
        <v>175</v>
      </c>
      <c r="H10" s="99">
        <f t="shared" si="0"/>
        <v>287.14634146341461</v>
      </c>
      <c r="I10" s="99" t="str">
        <f t="shared" si="0"/>
        <v/>
      </c>
      <c r="J10" s="129"/>
    </row>
    <row r="11" spans="1:14" x14ac:dyDescent="0.25">
      <c r="A11" s="134"/>
      <c r="B11" s="192" t="s">
        <v>431</v>
      </c>
      <c r="C11" s="193">
        <f>SUM(C6:C10)</f>
        <v>48838.932000000001</v>
      </c>
      <c r="D11" s="113">
        <f>SUM(D6:D10)</f>
        <v>48838.932000000001</v>
      </c>
      <c r="E11" s="113">
        <f>SUM(E6:E10)</f>
        <v>0</v>
      </c>
      <c r="F11" s="137"/>
      <c r="G11" s="192" t="s">
        <v>431</v>
      </c>
      <c r="H11" s="113">
        <f>SUM(H6:H10)</f>
        <v>1191.1934634146342</v>
      </c>
      <c r="I11" s="113">
        <f>SUM(I6:I10)</f>
        <v>0</v>
      </c>
      <c r="J11" s="129"/>
      <c r="M11" t="s">
        <v>432</v>
      </c>
    </row>
    <row r="12" spans="1:14" x14ac:dyDescent="0.25">
      <c r="A12" s="134"/>
      <c r="B12" s="190" t="s">
        <v>177</v>
      </c>
      <c r="C12" s="191">
        <f>C52</f>
        <v>4415.6319999999996</v>
      </c>
      <c r="D12" s="99">
        <f>D52</f>
        <v>4415.6319999999996</v>
      </c>
      <c r="E12" s="99">
        <f>E52</f>
        <v>0</v>
      </c>
      <c r="F12" s="137"/>
      <c r="G12" s="190" t="s">
        <v>177</v>
      </c>
      <c r="H12" s="99">
        <f t="shared" ref="H12:I17" si="1">IF(H$20&lt;&gt;0,1000*D12/H$20,"")</f>
        <v>107.69834146341464</v>
      </c>
      <c r="I12" s="99" t="str">
        <f t="shared" si="1"/>
        <v/>
      </c>
      <c r="J12" s="129"/>
    </row>
    <row r="13" spans="1:14" x14ac:dyDescent="0.25">
      <c r="A13" s="134"/>
      <c r="B13" s="190" t="s">
        <v>178</v>
      </c>
      <c r="C13" s="191">
        <f>C63</f>
        <v>3701.752</v>
      </c>
      <c r="D13" s="99">
        <f>D63</f>
        <v>3701.752</v>
      </c>
      <c r="E13" s="99">
        <f>E63</f>
        <v>0</v>
      </c>
      <c r="F13" s="137"/>
      <c r="G13" s="190" t="s">
        <v>178</v>
      </c>
      <c r="H13" s="99">
        <f t="shared" si="1"/>
        <v>90.28663414634147</v>
      </c>
      <c r="I13" s="99" t="str">
        <f t="shared" si="1"/>
        <v/>
      </c>
      <c r="J13" s="129"/>
    </row>
    <row r="14" spans="1:14" x14ac:dyDescent="0.25">
      <c r="A14" s="134"/>
      <c r="B14" s="190" t="s">
        <v>179</v>
      </c>
      <c r="C14" s="191">
        <f>C71</f>
        <v>4183.4670000000006</v>
      </c>
      <c r="D14" s="99">
        <f>D71</f>
        <v>4183.4670000000006</v>
      </c>
      <c r="E14" s="99">
        <f>E71</f>
        <v>0</v>
      </c>
      <c r="F14" s="137"/>
      <c r="G14" s="190" t="s">
        <v>179</v>
      </c>
      <c r="H14" s="99">
        <f t="shared" si="1"/>
        <v>102.03578048780489</v>
      </c>
      <c r="I14" s="99" t="str">
        <f t="shared" si="1"/>
        <v/>
      </c>
      <c r="J14" s="129"/>
    </row>
    <row r="15" spans="1:14" x14ac:dyDescent="0.25">
      <c r="A15" s="134"/>
      <c r="B15" s="190" t="s">
        <v>180</v>
      </c>
      <c r="C15" s="191">
        <f>C77</f>
        <v>1005.4</v>
      </c>
      <c r="D15" s="99">
        <f>D77</f>
        <v>1005.4</v>
      </c>
      <c r="E15" s="99">
        <f>E77</f>
        <v>0</v>
      </c>
      <c r="F15" s="137"/>
      <c r="G15" s="190" t="s">
        <v>180</v>
      </c>
      <c r="H15" s="99">
        <f t="shared" si="1"/>
        <v>24.521951219512196</v>
      </c>
      <c r="I15" s="99" t="str">
        <f t="shared" si="1"/>
        <v/>
      </c>
      <c r="J15" s="129"/>
    </row>
    <row r="16" spans="1:14" x14ac:dyDescent="0.25">
      <c r="A16" s="134"/>
      <c r="B16" s="190" t="s">
        <v>181</v>
      </c>
      <c r="C16" s="191">
        <f>C82</f>
        <v>290</v>
      </c>
      <c r="D16" s="99">
        <f>D82</f>
        <v>290</v>
      </c>
      <c r="E16" s="99">
        <f>E82</f>
        <v>0</v>
      </c>
      <c r="F16" s="137"/>
      <c r="G16" s="190" t="s">
        <v>181</v>
      </c>
      <c r="H16" s="99">
        <f t="shared" si="1"/>
        <v>7.0731707317073171</v>
      </c>
      <c r="I16" s="99" t="str">
        <f t="shared" si="1"/>
        <v/>
      </c>
      <c r="J16" s="129"/>
    </row>
    <row r="17" spans="1:10" x14ac:dyDescent="0.25">
      <c r="A17" s="134"/>
      <c r="B17" s="190" t="s">
        <v>266</v>
      </c>
      <c r="C17" s="191">
        <f>C89</f>
        <v>0</v>
      </c>
      <c r="D17" s="99">
        <f>D89</f>
        <v>0</v>
      </c>
      <c r="E17" s="99">
        <f>E89</f>
        <v>0</v>
      </c>
      <c r="F17" s="137"/>
      <c r="G17" s="190" t="s">
        <v>266</v>
      </c>
      <c r="H17" s="99">
        <f t="shared" si="1"/>
        <v>0</v>
      </c>
      <c r="I17" s="99" t="str">
        <f t="shared" si="1"/>
        <v/>
      </c>
      <c r="J17" s="129"/>
    </row>
    <row r="18" spans="1:10" x14ac:dyDescent="0.25">
      <c r="A18" s="134"/>
      <c r="B18" s="192" t="s">
        <v>183</v>
      </c>
      <c r="C18" s="193">
        <f>SUM(C11:C17)</f>
        <v>62435.182999999997</v>
      </c>
      <c r="D18" s="113">
        <f>SUM(D11:D17)</f>
        <v>62435.182999999997</v>
      </c>
      <c r="E18" s="113">
        <f>SUM(E11:E17)</f>
        <v>0</v>
      </c>
      <c r="F18" s="137"/>
      <c r="G18" s="192" t="s">
        <v>442</v>
      </c>
      <c r="H18" s="113">
        <f>SUM(H11:H17)</f>
        <v>1522.8093414634145</v>
      </c>
      <c r="I18" s="113">
        <f>SUM(I11:I17)</f>
        <v>0</v>
      </c>
      <c r="J18" s="129"/>
    </row>
    <row r="19" spans="1:10" ht="6.8" customHeight="1" x14ac:dyDescent="0.25">
      <c r="A19" s="134"/>
      <c r="B19" s="130"/>
      <c r="C19" s="130"/>
      <c r="D19" s="130"/>
      <c r="E19" s="130"/>
      <c r="F19" s="130"/>
      <c r="G19" s="130"/>
      <c r="H19" s="130"/>
      <c r="I19" s="130"/>
      <c r="J19" s="132"/>
    </row>
    <row r="20" spans="1:10" x14ac:dyDescent="0.25">
      <c r="A20" s="126"/>
      <c r="B20" s="194" t="s">
        <v>182</v>
      </c>
      <c r="C20" s="191">
        <f>SUM(D20:E20)</f>
        <v>1100.6060000000011</v>
      </c>
      <c r="D20" s="191">
        <f>(Vorräte!$E$18-Vorräte!$E$14)+(Vorräte!$H$18-Vorräte!$H$14)</f>
        <v>1100.6060000000011</v>
      </c>
      <c r="E20" s="191">
        <f>(Vorräte!$K$18-Vorräte!$K$14)+(Vorräte!$N$18-Vorräte!$N$14)</f>
        <v>0</v>
      </c>
      <c r="F20" s="130"/>
      <c r="G20" s="63" t="s">
        <v>184</v>
      </c>
      <c r="H20" s="160">
        <f>Fertigung!$D$6</f>
        <v>41000</v>
      </c>
      <c r="I20" s="160">
        <f>Fertigung!$E$6</f>
        <v>0</v>
      </c>
      <c r="J20" s="129"/>
    </row>
    <row r="21" spans="1:10" x14ac:dyDescent="0.25">
      <c r="A21" s="126"/>
      <c r="B21" s="192" t="s">
        <v>176</v>
      </c>
      <c r="C21" s="193">
        <f t="shared" ref="C21" si="2">SUM(D21:E21)</f>
        <v>47738.326000000001</v>
      </c>
      <c r="D21" s="113">
        <f>D11-D20</f>
        <v>47738.326000000001</v>
      </c>
      <c r="E21" s="113">
        <f>E11-E20</f>
        <v>0</v>
      </c>
      <c r="F21" s="131"/>
      <c r="G21" s="131"/>
      <c r="H21" s="131"/>
      <c r="I21" s="131"/>
      <c r="J21" s="129"/>
    </row>
    <row r="22" spans="1:10" ht="6.8" customHeight="1" x14ac:dyDescent="0.25">
      <c r="A22" s="134"/>
      <c r="B22" s="130"/>
      <c r="C22" s="130"/>
      <c r="D22" s="130"/>
      <c r="E22" s="130"/>
      <c r="F22" s="130"/>
      <c r="G22" s="130"/>
      <c r="H22" s="130"/>
      <c r="I22" s="130"/>
      <c r="J22" s="132"/>
    </row>
    <row r="23" spans="1:10" x14ac:dyDescent="0.25">
      <c r="A23" s="126"/>
      <c r="B23" s="363" t="s">
        <v>148</v>
      </c>
      <c r="C23" s="195">
        <f>SUM(C25:C27)</f>
        <v>19416.062999999998</v>
      </c>
      <c r="D23" s="151">
        <f>SUM(D25:D27)</f>
        <v>19416.062999999998</v>
      </c>
      <c r="E23" s="151">
        <f>SUM(E25:E27)</f>
        <v>0</v>
      </c>
      <c r="F23" s="139"/>
      <c r="G23" s="130"/>
      <c r="H23" s="130"/>
      <c r="I23" s="130"/>
      <c r="J23" s="132"/>
    </row>
    <row r="24" spans="1:10" x14ac:dyDescent="0.25">
      <c r="A24" s="126"/>
      <c r="B24" s="364"/>
      <c r="C24" s="154" t="s">
        <v>94</v>
      </c>
      <c r="D24" s="154" t="s">
        <v>305</v>
      </c>
      <c r="E24" s="154" t="s">
        <v>61</v>
      </c>
      <c r="F24" s="139"/>
      <c r="G24" s="130"/>
      <c r="H24" s="130"/>
      <c r="I24" s="130"/>
      <c r="J24" s="132"/>
    </row>
    <row r="25" spans="1:10" x14ac:dyDescent="0.25">
      <c r="A25" s="134"/>
      <c r="B25" s="63" t="s">
        <v>389</v>
      </c>
      <c r="C25" s="191">
        <f>SUM(D25:E25)</f>
        <v>1804</v>
      </c>
      <c r="D25" s="99">
        <f>'KostenRechnung 1'!$C$11</f>
        <v>1804</v>
      </c>
      <c r="E25" s="99">
        <f>'KostenRechnung 1'!$C$12</f>
        <v>0</v>
      </c>
      <c r="F25" s="139"/>
      <c r="G25" s="130"/>
      <c r="H25" s="130"/>
      <c r="I25" s="130"/>
      <c r="J25" s="132"/>
    </row>
    <row r="26" spans="1:10" x14ac:dyDescent="0.25">
      <c r="A26" s="134"/>
      <c r="B26" s="63" t="s">
        <v>420</v>
      </c>
      <c r="C26" s="191">
        <f>SUM(D26:E26)</f>
        <v>17612.062999999998</v>
      </c>
      <c r="D26" s="99">
        <f>'KostenRechnung 1'!$C$13</f>
        <v>17612.062999999998</v>
      </c>
      <c r="E26" s="99"/>
      <c r="F26" s="139"/>
      <c r="G26" s="130"/>
      <c r="H26" s="130"/>
      <c r="I26" s="130"/>
      <c r="J26" s="132"/>
    </row>
    <row r="27" spans="1:10" x14ac:dyDescent="0.25">
      <c r="A27" s="134"/>
      <c r="B27" s="63" t="s">
        <v>421</v>
      </c>
      <c r="C27" s="191">
        <f>SUM(D27:E27)</f>
        <v>0</v>
      </c>
      <c r="D27" s="99"/>
      <c r="E27" s="99">
        <f>'KostenRechnung 1'!$C$14</f>
        <v>0</v>
      </c>
      <c r="F27" s="130"/>
      <c r="G27" s="130"/>
      <c r="H27" s="130"/>
      <c r="I27" s="130"/>
      <c r="J27" s="132"/>
    </row>
    <row r="28" spans="1:10" ht="6.8" customHeight="1" x14ac:dyDescent="0.25">
      <c r="A28" s="134"/>
      <c r="B28" s="130"/>
      <c r="C28" s="130"/>
      <c r="D28" s="130"/>
      <c r="E28" s="130"/>
      <c r="F28" s="130"/>
      <c r="G28" s="130"/>
      <c r="H28" s="130"/>
      <c r="I28" s="130"/>
      <c r="J28" s="132"/>
    </row>
    <row r="29" spans="1:10" x14ac:dyDescent="0.25">
      <c r="A29" s="126"/>
      <c r="B29" s="363" t="s">
        <v>443</v>
      </c>
      <c r="C29" s="195">
        <f>SUM(C31:C33)</f>
        <v>110</v>
      </c>
      <c r="D29" s="151">
        <f>SUM(D31:D33)</f>
        <v>110</v>
      </c>
      <c r="E29" s="151">
        <f>SUM(E31:E33)</f>
        <v>0</v>
      </c>
      <c r="F29" s="139"/>
      <c r="G29" s="130"/>
      <c r="H29" s="130"/>
      <c r="I29" s="130"/>
      <c r="J29" s="132"/>
    </row>
    <row r="30" spans="1:10" x14ac:dyDescent="0.25">
      <c r="A30" s="126"/>
      <c r="B30" s="364"/>
      <c r="C30" s="154" t="s">
        <v>94</v>
      </c>
      <c r="D30" s="154" t="s">
        <v>305</v>
      </c>
      <c r="E30" s="154" t="s">
        <v>61</v>
      </c>
      <c r="F30" s="139"/>
      <c r="G30" s="130"/>
      <c r="H30" s="130"/>
      <c r="I30" s="130"/>
      <c r="J30" s="132"/>
    </row>
    <row r="31" spans="1:10" x14ac:dyDescent="0.25">
      <c r="A31" s="134"/>
      <c r="B31" s="63" t="s">
        <v>390</v>
      </c>
      <c r="C31" s="191">
        <f>SUM(D31:E31)</f>
        <v>0</v>
      </c>
      <c r="D31" s="99">
        <f>'KostenRechnung 1'!$C$18</f>
        <v>0</v>
      </c>
      <c r="E31" s="99">
        <f>'KostenRechnung 1'!$C$19</f>
        <v>0</v>
      </c>
      <c r="F31" s="139"/>
      <c r="G31" s="130"/>
      <c r="H31" s="130"/>
      <c r="I31" s="130"/>
      <c r="J31" s="132"/>
    </row>
    <row r="32" spans="1:10" x14ac:dyDescent="0.25">
      <c r="A32" s="134"/>
      <c r="B32" s="63" t="s">
        <v>424</v>
      </c>
      <c r="C32" s="191">
        <f>SUM(D32:E32)</f>
        <v>110</v>
      </c>
      <c r="D32" s="99">
        <f>'KostenRechnung 1'!$C$20</f>
        <v>110</v>
      </c>
      <c r="E32" s="99"/>
      <c r="F32" s="139"/>
      <c r="G32" s="130"/>
      <c r="H32" s="130"/>
      <c r="I32" s="130"/>
      <c r="J32" s="132"/>
    </row>
    <row r="33" spans="1:10" x14ac:dyDescent="0.25">
      <c r="A33" s="134"/>
      <c r="B33" s="63" t="s">
        <v>425</v>
      </c>
      <c r="C33" s="191">
        <f>SUM(D33:E33)</f>
        <v>0</v>
      </c>
      <c r="D33" s="99"/>
      <c r="E33" s="99">
        <f>'KostenRechnung 1'!$C$21</f>
        <v>0</v>
      </c>
      <c r="F33" s="130"/>
      <c r="G33" s="130"/>
      <c r="H33" s="130"/>
      <c r="I33" s="130"/>
      <c r="J33" s="132"/>
    </row>
    <row r="34" spans="1:10" ht="6.8" customHeight="1" x14ac:dyDescent="0.25">
      <c r="A34" s="134"/>
      <c r="B34" s="130"/>
      <c r="C34" s="130"/>
      <c r="D34" s="130"/>
      <c r="E34" s="130"/>
      <c r="F34" s="130"/>
      <c r="G34" s="130"/>
      <c r="H34" s="130"/>
      <c r="I34" s="130"/>
      <c r="J34" s="132"/>
    </row>
    <row r="35" spans="1:10" x14ac:dyDescent="0.25">
      <c r="A35" s="126"/>
      <c r="B35" s="363" t="s">
        <v>185</v>
      </c>
      <c r="C35" s="195">
        <f>SUM(C37:C39)</f>
        <v>738.25900000000001</v>
      </c>
      <c r="D35" s="151">
        <f>SUM(D37:D39)</f>
        <v>738.25900000000001</v>
      </c>
      <c r="E35" s="151">
        <f>SUM(E37:E39)</f>
        <v>0</v>
      </c>
      <c r="F35" s="139"/>
      <c r="G35" s="130"/>
      <c r="H35" s="130"/>
      <c r="I35" s="130"/>
      <c r="J35" s="132"/>
    </row>
    <row r="36" spans="1:10" x14ac:dyDescent="0.25">
      <c r="A36" s="126"/>
      <c r="B36" s="364"/>
      <c r="C36" s="154" t="s">
        <v>94</v>
      </c>
      <c r="D36" s="154" t="s">
        <v>305</v>
      </c>
      <c r="E36" s="154" t="s">
        <v>61</v>
      </c>
      <c r="F36" s="139"/>
      <c r="G36" s="130"/>
      <c r="H36" s="130"/>
      <c r="I36" s="130"/>
      <c r="J36" s="132"/>
    </row>
    <row r="37" spans="1:10" x14ac:dyDescent="0.25">
      <c r="A37" s="134"/>
      <c r="B37" s="63" t="s">
        <v>186</v>
      </c>
      <c r="C37" s="191">
        <f>SUM(D37:E37)</f>
        <v>675.73900000000003</v>
      </c>
      <c r="D37" s="99">
        <f>'KostenRechnung 1'!$C$32*D$23/$C$23</f>
        <v>675.73900000000003</v>
      </c>
      <c r="E37" s="99">
        <f>'KostenRechnung 1'!$C$32*E$23/$C$23</f>
        <v>0</v>
      </c>
      <c r="F37" s="139"/>
      <c r="G37" s="130"/>
      <c r="H37" s="130"/>
      <c r="I37" s="130"/>
      <c r="J37" s="132"/>
    </row>
    <row r="38" spans="1:10" x14ac:dyDescent="0.25">
      <c r="A38" s="134"/>
      <c r="B38" s="63" t="s">
        <v>187</v>
      </c>
      <c r="C38" s="191">
        <f>SUM(D38:E38)</f>
        <v>62.519999999999996</v>
      </c>
      <c r="D38" s="99">
        <f>SUM('KostenRechnung 1'!I41:I44)*D$23/$C$23</f>
        <v>62.519999999999996</v>
      </c>
      <c r="E38" s="99">
        <f>SUM('KostenRechnung 1'!$I$41:$I$44)*E$23/$C$23</f>
        <v>0</v>
      </c>
      <c r="F38" s="139"/>
      <c r="G38" s="130"/>
      <c r="H38" s="130"/>
      <c r="I38" s="130"/>
      <c r="J38" s="132"/>
    </row>
    <row r="39" spans="1:10" x14ac:dyDescent="0.25">
      <c r="A39" s="134"/>
      <c r="B39" s="63" t="s">
        <v>188</v>
      </c>
      <c r="C39" s="191">
        <f>SUM(D39:E39)</f>
        <v>0</v>
      </c>
      <c r="D39" s="99">
        <f>SUM('KostenRechnung 1'!$I$52:$I$54)*D$23/$C$23</f>
        <v>0</v>
      </c>
      <c r="E39" s="99">
        <f>SUM('KostenRechnung 1'!$I$52:$I$54)*E$23/$C$23</f>
        <v>0</v>
      </c>
      <c r="F39" s="130"/>
      <c r="G39" s="130"/>
      <c r="H39" s="130"/>
      <c r="I39" s="130"/>
      <c r="J39" s="132"/>
    </row>
    <row r="40" spans="1:10" ht="6.8" customHeight="1" x14ac:dyDescent="0.25">
      <c r="A40" s="134"/>
      <c r="B40" s="130"/>
      <c r="C40" s="130"/>
      <c r="D40" s="130"/>
      <c r="E40" s="130"/>
      <c r="F40" s="130"/>
      <c r="G40" s="130"/>
      <c r="H40" s="130"/>
      <c r="I40" s="130"/>
      <c r="J40" s="132"/>
    </row>
    <row r="41" spans="1:10" x14ac:dyDescent="0.25">
      <c r="A41" s="126"/>
      <c r="B41" s="363" t="s">
        <v>189</v>
      </c>
      <c r="C41" s="195">
        <f>SUM(C43:C43)</f>
        <v>16801.61</v>
      </c>
      <c r="D41" s="151">
        <f>SUM(D43:D43)</f>
        <v>16801.61</v>
      </c>
      <c r="E41" s="151">
        <f>SUM(E43:E43)</f>
        <v>0</v>
      </c>
      <c r="F41" s="139"/>
      <c r="G41" s="130"/>
      <c r="H41" s="130"/>
      <c r="I41" s="130"/>
      <c r="J41" s="132"/>
    </row>
    <row r="42" spans="1:10" x14ac:dyDescent="0.25">
      <c r="A42" s="126"/>
      <c r="B42" s="364"/>
      <c r="C42" s="154" t="s">
        <v>94</v>
      </c>
      <c r="D42" s="154" t="s">
        <v>305</v>
      </c>
      <c r="E42" s="154" t="s">
        <v>61</v>
      </c>
      <c r="F42" s="139"/>
      <c r="G42" s="130"/>
      <c r="H42" s="130"/>
      <c r="I42" s="130"/>
      <c r="J42" s="132"/>
    </row>
    <row r="43" spans="1:10" x14ac:dyDescent="0.25">
      <c r="A43" s="134"/>
      <c r="B43" s="63" t="s">
        <v>190</v>
      </c>
      <c r="C43" s="191">
        <f>SUM(D43:E43)</f>
        <v>16801.61</v>
      </c>
      <c r="D43" s="99">
        <f>'KostenRechnung 1'!$C$33*Fertigung!D$10/Fertigung!$F$10</f>
        <v>16801.61</v>
      </c>
      <c r="E43" s="99">
        <f>'KostenRechnung 1'!$C$33*Fertigung!E$10/Fertigung!$F$10</f>
        <v>0</v>
      </c>
      <c r="F43" s="130"/>
      <c r="G43" s="130"/>
      <c r="H43" s="130"/>
      <c r="I43" s="130"/>
      <c r="J43" s="132"/>
    </row>
    <row r="44" spans="1:10" ht="6.8" customHeight="1" x14ac:dyDescent="0.25">
      <c r="A44" s="134"/>
      <c r="B44" s="130"/>
      <c r="C44" s="130"/>
      <c r="D44" s="130"/>
      <c r="E44" s="130"/>
      <c r="F44" s="130"/>
      <c r="G44" s="130"/>
      <c r="H44" s="130"/>
      <c r="I44" s="130"/>
      <c r="J44" s="132"/>
    </row>
    <row r="45" spans="1:10" x14ac:dyDescent="0.25">
      <c r="A45" s="126"/>
      <c r="B45" s="363" t="s">
        <v>191</v>
      </c>
      <c r="C45" s="195">
        <f>SUM(C47:C50)</f>
        <v>11773</v>
      </c>
      <c r="D45" s="151">
        <f>SUM(D47:D50)</f>
        <v>11773</v>
      </c>
      <c r="E45" s="151">
        <f>SUM(E47:E50)</f>
        <v>0</v>
      </c>
      <c r="F45" s="139"/>
      <c r="G45" s="130"/>
      <c r="H45" s="130"/>
      <c r="I45" s="130"/>
      <c r="J45" s="132"/>
    </row>
    <row r="46" spans="1:10" x14ac:dyDescent="0.25">
      <c r="A46" s="126"/>
      <c r="B46" s="364"/>
      <c r="C46" s="154" t="s">
        <v>94</v>
      </c>
      <c r="D46" s="154" t="s">
        <v>305</v>
      </c>
      <c r="E46" s="154" t="s">
        <v>61</v>
      </c>
      <c r="F46" s="139"/>
      <c r="G46" s="130"/>
      <c r="H46" s="130"/>
      <c r="I46" s="130"/>
      <c r="J46" s="132"/>
    </row>
    <row r="47" spans="1:10" x14ac:dyDescent="0.25">
      <c r="A47" s="134"/>
      <c r="B47" s="63" t="s">
        <v>192</v>
      </c>
      <c r="C47" s="191">
        <f>SUM(D47:E47)</f>
        <v>7783</v>
      </c>
      <c r="D47" s="99">
        <f>(SUM('KostenRechnung 1'!$J$41:$J$44)-'KostenRechnung 1'!$J$43)*Fertigung!D$21/Fertigung!$F$21</f>
        <v>7783</v>
      </c>
      <c r="E47" s="99">
        <f>(SUM('KostenRechnung 1'!$J$41:$J$44)-'KostenRechnung 1'!$J$43)*Fertigung!E$21/Fertigung!$F$21</f>
        <v>0</v>
      </c>
      <c r="F47" s="139"/>
      <c r="G47" s="130"/>
      <c r="H47" s="130"/>
      <c r="I47" s="130"/>
      <c r="J47" s="132"/>
    </row>
    <row r="48" spans="1:10" x14ac:dyDescent="0.25">
      <c r="A48" s="134"/>
      <c r="B48" s="63" t="s">
        <v>193</v>
      </c>
      <c r="C48" s="191">
        <f>SUM(D48:E48)</f>
        <v>2040</v>
      </c>
      <c r="D48" s="99">
        <f>SUM('KostenRechnung 1'!$J$52:$J$53)*Fertigung!D$21/Fertigung!$F$21</f>
        <v>2040</v>
      </c>
      <c r="E48" s="99">
        <f>SUM('KostenRechnung 1'!$J$52:$J$53)*Fertigung!E$21/Fertigung!$F$21</f>
        <v>0</v>
      </c>
      <c r="F48" s="139"/>
      <c r="G48" s="130"/>
      <c r="H48" s="130"/>
      <c r="I48" s="130"/>
      <c r="J48" s="132"/>
    </row>
    <row r="49" spans="1:10" x14ac:dyDescent="0.25">
      <c r="A49" s="134"/>
      <c r="B49" s="63" t="s">
        <v>444</v>
      </c>
      <c r="C49" s="191">
        <f>SUM(D49:E49)</f>
        <v>0</v>
      </c>
      <c r="D49" s="99">
        <f>'KostenRechnung 1'!$J$58*Fertigung!D$10/Fertigung!$F$10</f>
        <v>0</v>
      </c>
      <c r="E49" s="99">
        <f>'KostenRechnung 1'!$J$58*Fertigung!E$10/Fertigung!$F$10</f>
        <v>0</v>
      </c>
      <c r="F49" s="130"/>
      <c r="G49" s="130"/>
      <c r="H49" s="130"/>
      <c r="I49" s="130"/>
      <c r="J49" s="132"/>
    </row>
    <row r="50" spans="1:10" x14ac:dyDescent="0.25">
      <c r="A50" s="134"/>
      <c r="B50" s="63" t="s">
        <v>445</v>
      </c>
      <c r="C50" s="191">
        <f>SUM(D50:E50)</f>
        <v>1950</v>
      </c>
      <c r="D50" s="99">
        <f>'KostenRechnung 1'!$J$59*Fertigung!D$21/Fertigung!$F$21</f>
        <v>1950</v>
      </c>
      <c r="E50" s="99">
        <f>'KostenRechnung 1'!$J$59*Fertigung!E$21/Fertigung!$F$21</f>
        <v>0</v>
      </c>
      <c r="F50" s="130"/>
      <c r="G50" s="130"/>
      <c r="H50" s="130"/>
      <c r="I50" s="130"/>
      <c r="J50" s="132"/>
    </row>
    <row r="51" spans="1:10" ht="6.8" customHeight="1" x14ac:dyDescent="0.25">
      <c r="A51" s="134"/>
      <c r="B51" s="130"/>
      <c r="C51" s="130"/>
      <c r="D51" s="130"/>
      <c r="E51" s="130"/>
      <c r="F51" s="130"/>
      <c r="G51" s="130"/>
      <c r="H51" s="130"/>
      <c r="I51" s="130"/>
      <c r="J51" s="132"/>
    </row>
    <row r="52" spans="1:10" x14ac:dyDescent="0.25">
      <c r="A52" s="126"/>
      <c r="B52" s="363" t="s">
        <v>194</v>
      </c>
      <c r="C52" s="195">
        <f>SUM(C54:C61)</f>
        <v>4415.6319999999996</v>
      </c>
      <c r="D52" s="151">
        <f>SUM(D54:D61)</f>
        <v>4415.6319999999996</v>
      </c>
      <c r="E52" s="151">
        <f>SUM(E54:E61)</f>
        <v>0</v>
      </c>
      <c r="F52" s="139"/>
      <c r="G52" s="130"/>
      <c r="H52" s="130"/>
      <c r="I52" s="130"/>
      <c r="J52" s="132"/>
    </row>
    <row r="53" spans="1:10" x14ac:dyDescent="0.25">
      <c r="A53" s="126"/>
      <c r="B53" s="364"/>
      <c r="C53" s="154" t="s">
        <v>94</v>
      </c>
      <c r="D53" s="154" t="s">
        <v>305</v>
      </c>
      <c r="E53" s="154" t="s">
        <v>61</v>
      </c>
      <c r="F53" s="139"/>
      <c r="G53" s="130"/>
      <c r="H53" s="130"/>
      <c r="I53" s="130"/>
      <c r="J53" s="132"/>
    </row>
    <row r="54" spans="1:10" x14ac:dyDescent="0.25">
      <c r="A54" s="134"/>
      <c r="B54" s="63" t="s">
        <v>195</v>
      </c>
      <c r="C54" s="191">
        <f t="shared" ref="C54:C61" si="3">SUM(D54:E54)</f>
        <v>3600</v>
      </c>
      <c r="D54" s="99">
        <f>'KostenRechnung 1'!$C$78</f>
        <v>3600</v>
      </c>
      <c r="E54" s="99">
        <f>'KostenRechnung 1'!$C$80</f>
        <v>0</v>
      </c>
      <c r="F54" s="139"/>
      <c r="G54" s="130"/>
      <c r="H54" s="130"/>
      <c r="I54" s="130"/>
      <c r="J54" s="132"/>
    </row>
    <row r="55" spans="1:10" x14ac:dyDescent="0.25">
      <c r="A55" s="134"/>
      <c r="B55" s="63" t="s">
        <v>196</v>
      </c>
      <c r="C55" s="191">
        <f t="shared" si="3"/>
        <v>0</v>
      </c>
      <c r="D55" s="99">
        <f>'KostenRechnung 1'!$C$79</f>
        <v>0</v>
      </c>
      <c r="E55" s="99">
        <f>'KostenRechnung 1'!$C$81</f>
        <v>0</v>
      </c>
      <c r="F55" s="139"/>
      <c r="G55" s="130"/>
      <c r="H55" s="130"/>
      <c r="I55" s="130"/>
      <c r="J55" s="132"/>
    </row>
    <row r="56" spans="1:10" x14ac:dyDescent="0.25">
      <c r="A56" s="134"/>
      <c r="B56" s="63" t="s">
        <v>197</v>
      </c>
      <c r="C56" s="191">
        <f t="shared" si="3"/>
        <v>200</v>
      </c>
      <c r="D56" s="99">
        <f>'KostenRechnung 1'!$C$86</f>
        <v>200</v>
      </c>
      <c r="E56" s="99">
        <f>'KostenRechnung 1'!$C$87</f>
        <v>0</v>
      </c>
      <c r="F56" s="139"/>
      <c r="G56" s="130"/>
      <c r="H56" s="130"/>
      <c r="I56" s="130"/>
      <c r="J56" s="132"/>
    </row>
    <row r="57" spans="1:10" x14ac:dyDescent="0.25">
      <c r="A57" s="134"/>
      <c r="B57" s="63" t="s">
        <v>198</v>
      </c>
      <c r="C57" s="191">
        <f t="shared" si="3"/>
        <v>525.63200000000006</v>
      </c>
      <c r="D57" s="99">
        <f>SUM('KostenRechnung 1'!$C$64:$C$65)</f>
        <v>525.63200000000006</v>
      </c>
      <c r="E57" s="99">
        <f>SUM('KostenRechnung 1'!$C$69:$C$70)</f>
        <v>0</v>
      </c>
      <c r="F57" s="139"/>
      <c r="G57" s="130"/>
      <c r="H57" s="130"/>
      <c r="I57" s="130"/>
      <c r="J57" s="132"/>
    </row>
    <row r="58" spans="1:10" x14ac:dyDescent="0.25">
      <c r="A58" s="134"/>
      <c r="B58" s="63" t="s">
        <v>199</v>
      </c>
      <c r="C58" s="191">
        <f t="shared" si="3"/>
        <v>0</v>
      </c>
      <c r="D58" s="99">
        <f>SUM('KostenRechnung 1'!$C$66:$C$67)</f>
        <v>0</v>
      </c>
      <c r="E58" s="99">
        <f>SUM('KostenRechnung 1'!$C$71:$C$72)</f>
        <v>0</v>
      </c>
      <c r="F58" s="139"/>
      <c r="G58" s="130"/>
      <c r="H58" s="130"/>
      <c r="I58" s="130"/>
      <c r="J58" s="132"/>
    </row>
    <row r="59" spans="1:10" x14ac:dyDescent="0.25">
      <c r="A59" s="134"/>
      <c r="B59" s="63" t="s">
        <v>303</v>
      </c>
      <c r="C59" s="191">
        <f t="shared" si="3"/>
        <v>0</v>
      </c>
      <c r="D59" s="99">
        <f>'KostenRechnung 1'!$C$68</f>
        <v>0</v>
      </c>
      <c r="E59" s="99">
        <f>'KostenRechnung 1'!$C$73</f>
        <v>0</v>
      </c>
      <c r="F59" s="139"/>
      <c r="G59" s="130"/>
      <c r="H59" s="130"/>
      <c r="I59" s="130"/>
      <c r="J59" s="132"/>
    </row>
    <row r="60" spans="1:10" x14ac:dyDescent="0.25">
      <c r="A60" s="134"/>
      <c r="B60" s="63" t="s">
        <v>200</v>
      </c>
      <c r="C60" s="191">
        <f t="shared" si="3"/>
        <v>90</v>
      </c>
      <c r="D60" s="99">
        <f>'KostenRechnung 1'!$C$25</f>
        <v>90</v>
      </c>
      <c r="E60" s="99">
        <f>'KostenRechnung 1'!$C$27</f>
        <v>0</v>
      </c>
      <c r="F60" s="139"/>
      <c r="G60" s="130"/>
      <c r="H60" s="130"/>
      <c r="I60" s="130"/>
      <c r="J60" s="132"/>
    </row>
    <row r="61" spans="1:10" x14ac:dyDescent="0.25">
      <c r="A61" s="134"/>
      <c r="B61" s="63" t="s">
        <v>201</v>
      </c>
      <c r="C61" s="191">
        <f t="shared" si="3"/>
        <v>0</v>
      </c>
      <c r="D61" s="99">
        <f>'KostenRechnung 1'!$C$26</f>
        <v>0</v>
      </c>
      <c r="E61" s="99">
        <f>'KostenRechnung 1'!$C$28</f>
        <v>0</v>
      </c>
      <c r="F61" s="130"/>
      <c r="G61" s="130"/>
      <c r="H61" s="130"/>
      <c r="I61" s="130"/>
      <c r="J61" s="132"/>
    </row>
    <row r="62" spans="1:10" ht="6.8" customHeight="1" x14ac:dyDescent="0.25">
      <c r="A62" s="134"/>
      <c r="B62" s="130"/>
      <c r="C62" s="130"/>
      <c r="D62" s="130"/>
      <c r="E62" s="130"/>
      <c r="F62" s="130"/>
      <c r="G62" s="130"/>
      <c r="H62" s="130"/>
      <c r="I62" s="130"/>
      <c r="J62" s="132"/>
    </row>
    <row r="63" spans="1:10" x14ac:dyDescent="0.25">
      <c r="A63" s="126"/>
      <c r="B63" s="363" t="s">
        <v>202</v>
      </c>
      <c r="C63" s="195">
        <f>SUM(C65:C69)</f>
        <v>3701.752</v>
      </c>
      <c r="D63" s="151">
        <f>SUM(D65:D69)</f>
        <v>3701.752</v>
      </c>
      <c r="E63" s="151">
        <f>SUM(E65:E69)</f>
        <v>0</v>
      </c>
      <c r="F63" s="139"/>
      <c r="G63" s="130"/>
      <c r="H63" s="130"/>
      <c r="I63" s="130"/>
      <c r="J63" s="132"/>
    </row>
    <row r="64" spans="1:10" x14ac:dyDescent="0.25">
      <c r="A64" s="126"/>
      <c r="B64" s="364"/>
      <c r="C64" s="154" t="s">
        <v>94</v>
      </c>
      <c r="D64" s="154" t="s">
        <v>305</v>
      </c>
      <c r="E64" s="154" t="s">
        <v>61</v>
      </c>
      <c r="F64" s="139"/>
      <c r="G64" s="130"/>
      <c r="H64" s="130"/>
      <c r="I64" s="130"/>
      <c r="J64" s="132"/>
    </row>
    <row r="65" spans="1:10" x14ac:dyDescent="0.25">
      <c r="A65" s="134"/>
      <c r="B65" s="63" t="s">
        <v>161</v>
      </c>
      <c r="C65" s="191">
        <f>SUM(D65:E65)</f>
        <v>500</v>
      </c>
      <c r="D65" s="99">
        <f>'KostenRechnung 1'!$C$77*D$21/$C$21</f>
        <v>500</v>
      </c>
      <c r="E65" s="99">
        <f>'KostenRechnung 1'!$C$77*E$21/$C$21</f>
        <v>0</v>
      </c>
      <c r="F65" s="139"/>
      <c r="G65" s="130"/>
      <c r="H65" s="130"/>
      <c r="I65" s="130"/>
      <c r="J65" s="132"/>
    </row>
    <row r="66" spans="1:10" x14ac:dyDescent="0.25">
      <c r="A66" s="134"/>
      <c r="B66" s="63" t="s">
        <v>203</v>
      </c>
      <c r="C66" s="191">
        <f>SUM(D66:E66)</f>
        <v>199.99999999999997</v>
      </c>
      <c r="D66" s="99">
        <f>'KostenRechnung 1'!$C$85*D$21/$C$21</f>
        <v>199.99999999999997</v>
      </c>
      <c r="E66" s="99">
        <f>'KostenRechnung 1'!$C$85*E$21/$C$21</f>
        <v>0</v>
      </c>
      <c r="F66" s="139"/>
      <c r="G66" s="130"/>
      <c r="H66" s="130"/>
      <c r="I66" s="130"/>
      <c r="J66" s="132"/>
    </row>
    <row r="67" spans="1:10" x14ac:dyDescent="0.25">
      <c r="A67" s="134"/>
      <c r="B67" s="63" t="s">
        <v>204</v>
      </c>
      <c r="C67" s="191">
        <f>SUM(D67:E67)</f>
        <v>2897.5520000000001</v>
      </c>
      <c r="D67" s="99">
        <f>'KostenRechnung 1'!$C$35*D$21/$C$21</f>
        <v>2897.5520000000001</v>
      </c>
      <c r="E67" s="99">
        <f>'KostenRechnung 1'!$C$35*E$21/$C$21</f>
        <v>0</v>
      </c>
      <c r="F67" s="139"/>
      <c r="G67" s="130"/>
      <c r="H67" s="130"/>
      <c r="I67" s="130"/>
      <c r="J67" s="132"/>
    </row>
    <row r="68" spans="1:10" x14ac:dyDescent="0.25">
      <c r="A68" s="134"/>
      <c r="B68" s="63" t="s">
        <v>205</v>
      </c>
      <c r="C68" s="191">
        <f>SUM(D68:E68)</f>
        <v>104.19999999999999</v>
      </c>
      <c r="D68" s="99">
        <f>SUM('KostenRechnung 1'!$K$41:$K$44)*D$21/$C$21</f>
        <v>104.19999999999999</v>
      </c>
      <c r="E68" s="99">
        <f>SUM('KostenRechnung 1'!$K$41:$K$44)*E$21/$C$21</f>
        <v>0</v>
      </c>
      <c r="F68" s="139"/>
      <c r="G68" s="130"/>
      <c r="H68" s="130"/>
      <c r="I68" s="130"/>
      <c r="J68" s="132"/>
    </row>
    <row r="69" spans="1:10" x14ac:dyDescent="0.25">
      <c r="A69" s="134"/>
      <c r="B69" s="63" t="s">
        <v>206</v>
      </c>
      <c r="C69" s="191">
        <f>SUM(D69:E69)</f>
        <v>0</v>
      </c>
      <c r="D69" s="99">
        <f>'KostenRechnung 1'!$K$52*D$21/$C$21</f>
        <v>0</v>
      </c>
      <c r="E69" s="99">
        <f>'KostenRechnung 1'!$K$52*E$21/$C$21</f>
        <v>0</v>
      </c>
      <c r="F69" s="130"/>
      <c r="G69" s="130"/>
      <c r="H69" s="130"/>
      <c r="I69" s="130"/>
      <c r="J69" s="132"/>
    </row>
    <row r="70" spans="1:10" ht="6.8" customHeight="1" x14ac:dyDescent="0.25">
      <c r="A70" s="134"/>
      <c r="B70" s="130"/>
      <c r="C70" s="130"/>
      <c r="D70" s="130"/>
      <c r="E70" s="130"/>
      <c r="F70" s="130"/>
      <c r="G70" s="130"/>
      <c r="H70" s="130"/>
      <c r="I70" s="130"/>
      <c r="J70" s="132"/>
    </row>
    <row r="71" spans="1:10" x14ac:dyDescent="0.25">
      <c r="A71" s="126"/>
      <c r="B71" s="363" t="s">
        <v>207</v>
      </c>
      <c r="C71" s="195">
        <f>SUM(C73:C75)</f>
        <v>4183.4670000000006</v>
      </c>
      <c r="D71" s="151">
        <f>SUM(D73:D75)</f>
        <v>4183.4670000000006</v>
      </c>
      <c r="E71" s="151">
        <f>SUM(E73:E75)</f>
        <v>0</v>
      </c>
      <c r="F71" s="139"/>
      <c r="G71" s="130"/>
      <c r="H71" s="130"/>
      <c r="I71" s="130"/>
      <c r="J71" s="132"/>
    </row>
    <row r="72" spans="1:10" x14ac:dyDescent="0.25">
      <c r="A72" s="126"/>
      <c r="B72" s="364"/>
      <c r="C72" s="154" t="s">
        <v>94</v>
      </c>
      <c r="D72" s="154" t="s">
        <v>305</v>
      </c>
      <c r="E72" s="154" t="s">
        <v>61</v>
      </c>
      <c r="F72" s="139"/>
      <c r="G72" s="130"/>
      <c r="H72" s="130"/>
      <c r="I72" s="130"/>
      <c r="J72" s="132"/>
    </row>
    <row r="73" spans="1:10" x14ac:dyDescent="0.25">
      <c r="A73" s="134"/>
      <c r="B73" s="63" t="s">
        <v>208</v>
      </c>
      <c r="C73" s="191">
        <f>SUM(D73:E73)</f>
        <v>3829.1870000000004</v>
      </c>
      <c r="D73" s="99">
        <f>'KostenRechnung 1'!$C$36*D$21/$C$21</f>
        <v>3829.1870000000004</v>
      </c>
      <c r="E73" s="99">
        <f>'KostenRechnung 1'!$C$36*E$21/$C$21</f>
        <v>0</v>
      </c>
      <c r="F73" s="139"/>
      <c r="G73" s="130"/>
      <c r="H73" s="130"/>
      <c r="I73" s="130"/>
      <c r="J73" s="132"/>
    </row>
    <row r="74" spans="1:10" x14ac:dyDescent="0.25">
      <c r="A74" s="134"/>
      <c r="B74" s="63" t="s">
        <v>209</v>
      </c>
      <c r="C74" s="191">
        <f>SUM(D74:E74)</f>
        <v>354.28</v>
      </c>
      <c r="D74" s="99">
        <f>SUM('KostenRechnung 1'!$L$41:$L$44)*D$21/$C$21</f>
        <v>354.28</v>
      </c>
      <c r="E74" s="99">
        <f>SUM('KostenRechnung 1'!$L$41:$L$44)*E$21/$C$21</f>
        <v>0</v>
      </c>
      <c r="F74" s="139"/>
      <c r="G74" s="130"/>
      <c r="H74" s="130"/>
      <c r="I74" s="130"/>
      <c r="J74" s="132"/>
    </row>
    <row r="75" spans="1:10" x14ac:dyDescent="0.25">
      <c r="A75" s="134"/>
      <c r="B75" s="63" t="s">
        <v>210</v>
      </c>
      <c r="C75" s="191">
        <f>SUM(D75:E75)</f>
        <v>0</v>
      </c>
      <c r="D75" s="99">
        <f>'KostenRechnung 1'!$L$52*D$21/$C$21</f>
        <v>0</v>
      </c>
      <c r="E75" s="99">
        <f>'KostenRechnung 1'!$L$52*E$21/$C$21</f>
        <v>0</v>
      </c>
      <c r="F75" s="130"/>
      <c r="G75" s="130"/>
      <c r="H75" s="130"/>
      <c r="I75" s="130"/>
      <c r="J75" s="132"/>
    </row>
    <row r="76" spans="1:10" ht="6.8" customHeight="1" x14ac:dyDescent="0.25">
      <c r="A76" s="134"/>
      <c r="B76" s="130"/>
      <c r="C76" s="130"/>
      <c r="D76" s="130"/>
      <c r="E76" s="130"/>
      <c r="F76" s="130"/>
      <c r="G76" s="130"/>
      <c r="H76" s="130"/>
      <c r="I76" s="130"/>
      <c r="J76" s="132"/>
    </row>
    <row r="77" spans="1:10" x14ac:dyDescent="0.25">
      <c r="A77" s="126"/>
      <c r="B77" s="363" t="s">
        <v>211</v>
      </c>
      <c r="C77" s="195">
        <f>SUM(C79:C80)</f>
        <v>1005.4</v>
      </c>
      <c r="D77" s="151">
        <f>SUM(D79:D80)</f>
        <v>1005.4</v>
      </c>
      <c r="E77" s="151">
        <f>SUM(E79:E80)</f>
        <v>0</v>
      </c>
      <c r="F77" s="139"/>
      <c r="G77" s="130"/>
      <c r="H77" s="130"/>
      <c r="I77" s="130"/>
      <c r="J77" s="132"/>
    </row>
    <row r="78" spans="1:10" x14ac:dyDescent="0.25">
      <c r="A78" s="126"/>
      <c r="B78" s="364"/>
      <c r="C78" s="154" t="s">
        <v>94</v>
      </c>
      <c r="D78" s="154" t="s">
        <v>305</v>
      </c>
      <c r="E78" s="154" t="s">
        <v>61</v>
      </c>
      <c r="F78" s="139"/>
      <c r="G78" s="130"/>
      <c r="H78" s="130"/>
      <c r="I78" s="130"/>
      <c r="J78" s="132"/>
    </row>
    <row r="79" spans="1:10" x14ac:dyDescent="0.25">
      <c r="A79" s="134"/>
      <c r="B79" s="63" t="s">
        <v>135</v>
      </c>
      <c r="C79" s="191">
        <f>SUM(D79:E79)</f>
        <v>631.19999999999993</v>
      </c>
      <c r="D79" s="99">
        <f>'KostenRechnung 1'!$C$91</f>
        <v>631.19999999999993</v>
      </c>
      <c r="E79" s="99">
        <f>'KostenRechnung 1'!$C$93</f>
        <v>0</v>
      </c>
      <c r="F79" s="139"/>
      <c r="G79" s="130"/>
      <c r="H79" s="130"/>
      <c r="I79" s="130"/>
      <c r="J79" s="132"/>
    </row>
    <row r="80" spans="1:10" x14ac:dyDescent="0.25">
      <c r="A80" s="134"/>
      <c r="B80" s="63" t="s">
        <v>136</v>
      </c>
      <c r="C80" s="191">
        <f>SUM(D80:E80)</f>
        <v>374.20000000000005</v>
      </c>
      <c r="D80" s="99">
        <f>'KostenRechnung 1'!$C$92</f>
        <v>374.20000000000005</v>
      </c>
      <c r="E80" s="99">
        <f>'KostenRechnung 1'!$C$94</f>
        <v>0</v>
      </c>
      <c r="F80" s="130"/>
      <c r="G80" s="130"/>
      <c r="H80" s="130"/>
      <c r="I80" s="130"/>
      <c r="J80" s="132"/>
    </row>
    <row r="81" spans="1:10" ht="6.8" customHeight="1" x14ac:dyDescent="0.25">
      <c r="A81" s="134"/>
      <c r="B81" s="130"/>
      <c r="C81" s="130"/>
      <c r="D81" s="130"/>
      <c r="E81" s="130"/>
      <c r="F81" s="130"/>
      <c r="G81" s="130"/>
      <c r="H81" s="130"/>
      <c r="I81" s="130"/>
      <c r="J81" s="132"/>
    </row>
    <row r="82" spans="1:10" x14ac:dyDescent="0.25">
      <c r="A82" s="126"/>
      <c r="B82" s="363" t="s">
        <v>212</v>
      </c>
      <c r="C82" s="195">
        <f>SUM(C84:C87)</f>
        <v>290</v>
      </c>
      <c r="D82" s="151">
        <f>SUM(D84:D87)</f>
        <v>290</v>
      </c>
      <c r="E82" s="151">
        <f>SUM(E84:E87)</f>
        <v>0</v>
      </c>
      <c r="F82" s="139"/>
      <c r="G82" s="130"/>
      <c r="H82" s="130"/>
      <c r="I82" s="130"/>
      <c r="J82" s="132"/>
    </row>
    <row r="83" spans="1:10" x14ac:dyDescent="0.25">
      <c r="A83" s="126"/>
      <c r="B83" s="364"/>
      <c r="C83" s="154" t="s">
        <v>94</v>
      </c>
      <c r="D83" s="154" t="s">
        <v>305</v>
      </c>
      <c r="E83" s="154" t="s">
        <v>61</v>
      </c>
      <c r="F83" s="139"/>
      <c r="G83" s="130"/>
      <c r="H83" s="130"/>
      <c r="I83" s="130"/>
      <c r="J83" s="132"/>
    </row>
    <row r="84" spans="1:10" x14ac:dyDescent="0.25">
      <c r="A84" s="134"/>
      <c r="B84" s="63" t="s">
        <v>190</v>
      </c>
      <c r="C84" s="191">
        <f>SUM(D84:E84)</f>
        <v>0</v>
      </c>
      <c r="D84" s="99">
        <f>'KostenRechnung 1'!$C$34*Fertigung!D$10/Fertigung!$F$10</f>
        <v>0</v>
      </c>
      <c r="E84" s="99">
        <f>'KostenRechnung 1'!$C$34*Fertigung!E$10/Fertigung!$F$10</f>
        <v>0</v>
      </c>
      <c r="F84" s="139"/>
      <c r="G84" s="130"/>
      <c r="H84" s="130"/>
      <c r="I84" s="130"/>
      <c r="J84" s="132"/>
    </row>
    <row r="85" spans="1:10" x14ac:dyDescent="0.25">
      <c r="A85" s="134"/>
      <c r="B85" s="63" t="s">
        <v>213</v>
      </c>
      <c r="C85" s="191">
        <f>SUM(D85:E85)</f>
        <v>180</v>
      </c>
      <c r="D85" s="99">
        <f>'KostenRechnung 1'!$C$43*Fertigung!D$21/Fertigung!$F$21</f>
        <v>180</v>
      </c>
      <c r="E85" s="99">
        <f>'KostenRechnung 1'!$C$43*Fertigung!E$21/Fertigung!$F$21</f>
        <v>0</v>
      </c>
      <c r="F85" s="139"/>
      <c r="G85" s="130"/>
      <c r="H85" s="130"/>
      <c r="I85" s="130"/>
      <c r="J85" s="132"/>
    </row>
    <row r="86" spans="1:10" x14ac:dyDescent="0.25">
      <c r="A86" s="134"/>
      <c r="B86" s="63" t="s">
        <v>193</v>
      </c>
      <c r="C86" s="191">
        <f>SUM(D86:E86)</f>
        <v>60</v>
      </c>
      <c r="D86" s="99">
        <f>'KostenRechnung 1'!$C$54*Fertigung!D$21/Fertigung!$F$21</f>
        <v>60</v>
      </c>
      <c r="E86" s="99">
        <f>'KostenRechnung 1'!$C$54*Fertigung!E$21/Fertigung!$F$21</f>
        <v>0</v>
      </c>
      <c r="F86" s="139"/>
      <c r="G86" s="130"/>
      <c r="H86" s="130"/>
      <c r="I86" s="130"/>
      <c r="J86" s="132"/>
    </row>
    <row r="87" spans="1:10" x14ac:dyDescent="0.25">
      <c r="A87" s="134"/>
      <c r="B87" s="63" t="s">
        <v>214</v>
      </c>
      <c r="C87" s="191">
        <f>SUM(D87:E87)</f>
        <v>50</v>
      </c>
      <c r="D87" s="99">
        <f>'KostenRechnung 1'!$C$60*Fertigung!D$21/Fertigung!$F$21</f>
        <v>50</v>
      </c>
      <c r="E87" s="99">
        <f>'KostenRechnung 1'!$C$60*Fertigung!E$21/Fertigung!$F$21</f>
        <v>0</v>
      </c>
      <c r="F87" s="139"/>
      <c r="G87" s="130"/>
      <c r="H87" s="130"/>
      <c r="I87" s="130"/>
      <c r="J87" s="132"/>
    </row>
    <row r="88" spans="1:10" ht="6.8" customHeight="1" x14ac:dyDescent="0.25">
      <c r="A88" s="134"/>
      <c r="B88" s="130"/>
      <c r="C88" s="130"/>
      <c r="D88" s="130"/>
      <c r="E88" s="130"/>
      <c r="F88" s="130"/>
      <c r="G88" s="130"/>
      <c r="H88" s="130"/>
      <c r="I88" s="130"/>
      <c r="J88" s="132"/>
    </row>
    <row r="89" spans="1:10" x14ac:dyDescent="0.25">
      <c r="A89" s="126"/>
      <c r="B89" s="363" t="s">
        <v>264</v>
      </c>
      <c r="C89" s="195">
        <f>SUM(C91:C94)</f>
        <v>0</v>
      </c>
      <c r="D89" s="151">
        <f>SUM(D91:D94)</f>
        <v>0</v>
      </c>
      <c r="E89" s="151">
        <f>SUM(E91:E94)</f>
        <v>0</v>
      </c>
      <c r="F89" s="139"/>
      <c r="G89" s="130"/>
      <c r="H89" s="130"/>
      <c r="I89" s="130"/>
      <c r="J89" s="132"/>
    </row>
    <row r="90" spans="1:10" x14ac:dyDescent="0.25">
      <c r="A90" s="126"/>
      <c r="B90" s="364"/>
      <c r="C90" s="154" t="s">
        <v>94</v>
      </c>
      <c r="D90" s="154" t="s">
        <v>305</v>
      </c>
      <c r="E90" s="154" t="s">
        <v>61</v>
      </c>
      <c r="F90" s="139"/>
      <c r="G90" s="130"/>
      <c r="H90" s="130"/>
      <c r="I90" s="130"/>
      <c r="J90" s="132"/>
    </row>
    <row r="91" spans="1:10" x14ac:dyDescent="0.25">
      <c r="A91" s="134"/>
      <c r="B91" s="63" t="s">
        <v>265</v>
      </c>
      <c r="C91" s="191">
        <f>SUM(D91:E91)</f>
        <v>0</v>
      </c>
      <c r="D91" s="99">
        <f>'KostenRechnung 1'!$C$48*Fertigung!D$21/Fertigung!$F$21</f>
        <v>0</v>
      </c>
      <c r="E91" s="99">
        <f>'KostenRechnung 1'!$C$48*Fertigung!E$21/Fertigung!$F$21</f>
        <v>0</v>
      </c>
      <c r="F91" s="139"/>
      <c r="G91" s="130"/>
      <c r="H91" s="130"/>
      <c r="I91" s="130"/>
      <c r="J91" s="132"/>
    </row>
    <row r="92" spans="1:10" ht="14.95" thickBot="1" x14ac:dyDescent="0.3">
      <c r="A92" s="143"/>
      <c r="B92" s="144"/>
      <c r="C92" s="144"/>
      <c r="D92" s="144"/>
      <c r="E92" s="144"/>
      <c r="F92" s="145"/>
      <c r="G92" s="145"/>
      <c r="H92" s="145"/>
      <c r="I92" s="145"/>
      <c r="J92" s="293" t="str">
        <f>'Aktuelle Wirtschaftsdaten'!$P$47</f>
        <v>MK_GMS_Pro 2.10</v>
      </c>
    </row>
  </sheetData>
  <mergeCells count="13">
    <mergeCell ref="B4:B5"/>
    <mergeCell ref="G4:G5"/>
    <mergeCell ref="B23:B24"/>
    <mergeCell ref="B29:B30"/>
    <mergeCell ref="B35:B36"/>
    <mergeCell ref="B77:B78"/>
    <mergeCell ref="B82:B83"/>
    <mergeCell ref="B89:B90"/>
    <mergeCell ref="B41:B42"/>
    <mergeCell ref="B45:B46"/>
    <mergeCell ref="B52:B53"/>
    <mergeCell ref="B63:B64"/>
    <mergeCell ref="B71:B72"/>
  </mergeCells>
  <phoneticPr fontId="11" type="noConversion"/>
  <pageMargins left="0.7" right="0.7" top="0.78740157499999996" bottom="0.78740157499999996" header="0.3" footer="0.3"/>
  <pageSetup paperSize="9"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0258-CC26-4CA8-AE64-9899650D1C79}">
  <dimension ref="A1:S45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4.5" customWidth="1"/>
    <col min="3" max="3" width="8.625" customWidth="1"/>
    <col min="4" max="5" width="11.125" customWidth="1"/>
    <col min="6" max="10" width="7.125" customWidth="1"/>
    <col min="11" max="11" width="11.125" customWidth="1"/>
    <col min="12" max="15" width="7.125" customWidth="1"/>
    <col min="16" max="16" width="1.375" customWidth="1"/>
  </cols>
  <sheetData>
    <row r="1" spans="1:19" ht="7.15" customHeight="1" x14ac:dyDescent="0.25">
      <c r="A1" s="122"/>
      <c r="B1" s="123"/>
      <c r="C1" s="123"/>
      <c r="D1" s="123"/>
      <c r="E1" s="123"/>
      <c r="F1" s="306"/>
      <c r="G1" s="306"/>
      <c r="H1" s="306"/>
      <c r="I1" s="306"/>
      <c r="J1" s="306"/>
      <c r="K1" s="123"/>
      <c r="L1" s="306"/>
      <c r="M1" s="306"/>
      <c r="N1" s="306"/>
      <c r="O1" s="306"/>
      <c r="P1" s="125"/>
    </row>
    <row r="2" spans="1:19" ht="23.45" customHeight="1" x14ac:dyDescent="0.4">
      <c r="A2" s="126"/>
      <c r="B2" s="127" t="s">
        <v>434</v>
      </c>
      <c r="C2" s="127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371">
        <f>'Aktuelle Wirtschaftsdaten'!$O$2</f>
        <v>-1</v>
      </c>
      <c r="O2" s="372"/>
      <c r="P2" s="129"/>
    </row>
    <row r="3" spans="1:19" ht="5.95" customHeight="1" x14ac:dyDescent="0.25">
      <c r="A3" s="126"/>
      <c r="B3" s="130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315"/>
      <c r="O3" s="315"/>
      <c r="P3" s="129"/>
    </row>
    <row r="4" spans="1:19" x14ac:dyDescent="0.25">
      <c r="A4" s="126"/>
      <c r="B4" s="373" t="s">
        <v>485</v>
      </c>
      <c r="C4" s="42"/>
      <c r="D4" s="42"/>
      <c r="E4" s="42"/>
      <c r="F4" s="367" t="s">
        <v>435</v>
      </c>
      <c r="G4" s="375"/>
      <c r="H4" s="368"/>
      <c r="I4" s="367" t="s">
        <v>436</v>
      </c>
      <c r="J4" s="368"/>
      <c r="K4" s="42"/>
      <c r="L4" s="367" t="s">
        <v>435</v>
      </c>
      <c r="M4" s="375"/>
      <c r="N4" s="367" t="s">
        <v>436</v>
      </c>
      <c r="O4" s="368"/>
      <c r="P4" s="129"/>
    </row>
    <row r="5" spans="1:19" x14ac:dyDescent="0.25">
      <c r="A5" s="126"/>
      <c r="B5" s="374"/>
      <c r="C5" s="42"/>
      <c r="D5" s="146" t="s">
        <v>94</v>
      </c>
      <c r="E5" s="146" t="s">
        <v>305</v>
      </c>
      <c r="F5" s="307" t="s">
        <v>272</v>
      </c>
      <c r="G5" s="307" t="s">
        <v>273</v>
      </c>
      <c r="H5" s="307" t="s">
        <v>437</v>
      </c>
      <c r="I5" s="307" t="s">
        <v>272</v>
      </c>
      <c r="J5" s="307" t="s">
        <v>273</v>
      </c>
      <c r="K5" s="146" t="s">
        <v>61</v>
      </c>
      <c r="L5" s="307" t="s">
        <v>272</v>
      </c>
      <c r="M5" s="307" t="s">
        <v>273</v>
      </c>
      <c r="N5" s="307" t="s">
        <v>272</v>
      </c>
      <c r="O5" s="307" t="s">
        <v>273</v>
      </c>
      <c r="P5" s="129"/>
    </row>
    <row r="6" spans="1:19" x14ac:dyDescent="0.25">
      <c r="A6" s="134"/>
      <c r="B6" s="190" t="s">
        <v>438</v>
      </c>
      <c r="C6" s="319" t="s">
        <v>34</v>
      </c>
      <c r="D6" s="113">
        <f>E6+K6</f>
        <v>65227.006000000001</v>
      </c>
      <c r="E6" s="113">
        <f>SUM(F6:J6)</f>
        <v>65227.006000000001</v>
      </c>
      <c r="F6" s="308">
        <f>ErlösRechnung!$C$10</f>
        <v>64126.400000000001</v>
      </c>
      <c r="G6" s="308">
        <f>ErlösRechnung!$C$11</f>
        <v>0</v>
      </c>
      <c r="H6" s="308">
        <f>ErlösRechnung!$C$12</f>
        <v>0</v>
      </c>
      <c r="I6" s="308">
        <f>Vorräte!$E$18-Vorräte!$E$14</f>
        <v>1100.6060000000011</v>
      </c>
      <c r="J6" s="308">
        <f>Vorräte!$H$18-Vorräte!$H$14</f>
        <v>0</v>
      </c>
      <c r="K6" s="113">
        <f>SUM(L6:O6)</f>
        <v>0</v>
      </c>
      <c r="L6" s="308">
        <f>ErlösRechnung!$C$23</f>
        <v>0</v>
      </c>
      <c r="M6" s="308">
        <f>ErlösRechnung!$C$24</f>
        <v>0</v>
      </c>
      <c r="N6" s="308">
        <f>Vorräte!$K$18-Vorräte!$K$14</f>
        <v>0</v>
      </c>
      <c r="O6" s="308">
        <f>Vorräte!$N$18-Vorräte!$N$14</f>
        <v>0</v>
      </c>
      <c r="P6" s="129"/>
      <c r="R6" s="121"/>
      <c r="S6" s="121"/>
    </row>
    <row r="7" spans="1:19" ht="6.8" customHeight="1" x14ac:dyDescent="0.25">
      <c r="A7" s="126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29"/>
      <c r="R7" s="121"/>
      <c r="S7" s="121"/>
    </row>
    <row r="8" spans="1:19" x14ac:dyDescent="0.25">
      <c r="A8" s="134"/>
      <c r="B8" s="309" t="s">
        <v>171</v>
      </c>
      <c r="C8" s="319" t="s">
        <v>34</v>
      </c>
      <c r="D8" s="99">
        <f t="shared" ref="D8:D11" si="0">E8+K8</f>
        <v>19526.062999999998</v>
      </c>
      <c r="E8" s="99">
        <f>'KostenRechnung 2'!$D6+'KostenRechnung 2'!$D7</f>
        <v>19526.062999999998</v>
      </c>
      <c r="F8" s="310">
        <f>IF($E$23=0,0,$E8*F$23/$E$23)</f>
        <v>19087.440950658533</v>
      </c>
      <c r="G8" s="310">
        <f t="shared" ref="G8:J11" si="1">IF($E$23=0,0,$E8*G$23/$E$23)</f>
        <v>0</v>
      </c>
      <c r="H8" s="310">
        <f t="shared" si="1"/>
        <v>0</v>
      </c>
      <c r="I8" s="310">
        <f t="shared" si="1"/>
        <v>438.62204934146337</v>
      </c>
      <c r="J8" s="310">
        <f t="shared" si="1"/>
        <v>0</v>
      </c>
      <c r="K8" s="99">
        <f>'KostenRechnung 2'!$E6+'KostenRechnung 2'!$E7</f>
        <v>0</v>
      </c>
      <c r="L8" s="310">
        <f>IF($K$23=0,0,$K8*L$23/$K$23)</f>
        <v>0</v>
      </c>
      <c r="M8" s="310">
        <f t="shared" ref="M8:O11" si="2">IF($K$23=0,0,$K8*M$23/$K$23)</f>
        <v>0</v>
      </c>
      <c r="N8" s="310">
        <f t="shared" si="2"/>
        <v>0</v>
      </c>
      <c r="O8" s="310">
        <f t="shared" si="2"/>
        <v>0</v>
      </c>
      <c r="P8" s="129"/>
      <c r="R8" s="121"/>
      <c r="S8" s="121"/>
    </row>
    <row r="9" spans="1:19" x14ac:dyDescent="0.25">
      <c r="A9" s="134"/>
      <c r="B9" s="309" t="s">
        <v>173</v>
      </c>
      <c r="C9" s="319" t="s">
        <v>34</v>
      </c>
      <c r="D9" s="99">
        <f t="shared" si="0"/>
        <v>738.25900000000001</v>
      </c>
      <c r="E9" s="99">
        <f>+'KostenRechnung 2'!$D8</f>
        <v>738.25900000000001</v>
      </c>
      <c r="F9" s="310">
        <f t="shared" ref="F9:F11" si="3">IF($E$23=0,0,$E9*F$23/$E$23)</f>
        <v>721.67518197560969</v>
      </c>
      <c r="G9" s="310">
        <f t="shared" si="1"/>
        <v>0</v>
      </c>
      <c r="H9" s="310">
        <f t="shared" si="1"/>
        <v>0</v>
      </c>
      <c r="I9" s="310">
        <f t="shared" si="1"/>
        <v>16.583818024390244</v>
      </c>
      <c r="J9" s="310">
        <f t="shared" si="1"/>
        <v>0</v>
      </c>
      <c r="K9" s="99">
        <f>'KostenRechnung 2'!$E8</f>
        <v>0</v>
      </c>
      <c r="L9" s="310">
        <f t="shared" ref="L9:L11" si="4">IF($K$23=0,0,$K9*L$23/$K$23)</f>
        <v>0</v>
      </c>
      <c r="M9" s="310">
        <f t="shared" si="2"/>
        <v>0</v>
      </c>
      <c r="N9" s="310">
        <f t="shared" si="2"/>
        <v>0</v>
      </c>
      <c r="O9" s="310">
        <f t="shared" si="2"/>
        <v>0</v>
      </c>
      <c r="P9" s="129"/>
      <c r="R9" s="121"/>
      <c r="S9" s="121"/>
    </row>
    <row r="10" spans="1:19" x14ac:dyDescent="0.25">
      <c r="A10" s="134"/>
      <c r="B10" s="309" t="s">
        <v>174</v>
      </c>
      <c r="C10" s="319" t="s">
        <v>34</v>
      </c>
      <c r="D10" s="99">
        <f t="shared" si="0"/>
        <v>16801.61</v>
      </c>
      <c r="E10" s="99">
        <f>'KostenRechnung 2'!$D9</f>
        <v>16801.61</v>
      </c>
      <c r="F10" s="310">
        <f t="shared" si="3"/>
        <v>16424.188468048782</v>
      </c>
      <c r="G10" s="310">
        <f t="shared" si="1"/>
        <v>0</v>
      </c>
      <c r="H10" s="310">
        <f t="shared" si="1"/>
        <v>0</v>
      </c>
      <c r="I10" s="310">
        <f t="shared" si="1"/>
        <v>377.42153195121955</v>
      </c>
      <c r="J10" s="310">
        <f t="shared" si="1"/>
        <v>0</v>
      </c>
      <c r="K10" s="99">
        <f>'KostenRechnung 2'!$E9</f>
        <v>0</v>
      </c>
      <c r="L10" s="310">
        <f t="shared" si="4"/>
        <v>0</v>
      </c>
      <c r="M10" s="310">
        <f t="shared" si="2"/>
        <v>0</v>
      </c>
      <c r="N10" s="310">
        <f t="shared" si="2"/>
        <v>0</v>
      </c>
      <c r="O10" s="310">
        <f t="shared" si="2"/>
        <v>0</v>
      </c>
      <c r="P10" s="129"/>
      <c r="R10" s="121"/>
      <c r="S10" s="121"/>
    </row>
    <row r="11" spans="1:19" x14ac:dyDescent="0.25">
      <c r="A11" s="134"/>
      <c r="B11" s="309" t="s">
        <v>175</v>
      </c>
      <c r="C11" s="319" t="s">
        <v>34</v>
      </c>
      <c r="D11" s="99">
        <f t="shared" si="0"/>
        <v>11773</v>
      </c>
      <c r="E11" s="99">
        <f>'KostenRechnung 2'!$D10</f>
        <v>11773</v>
      </c>
      <c r="F11" s="310">
        <f t="shared" si="3"/>
        <v>11508.538219512195</v>
      </c>
      <c r="G11" s="310">
        <f t="shared" si="1"/>
        <v>0</v>
      </c>
      <c r="H11" s="310">
        <f t="shared" si="1"/>
        <v>0</v>
      </c>
      <c r="I11" s="310">
        <f t="shared" si="1"/>
        <v>264.4617804878049</v>
      </c>
      <c r="J11" s="310">
        <f t="shared" si="1"/>
        <v>0</v>
      </c>
      <c r="K11" s="99">
        <f>'KostenRechnung 2'!$E10</f>
        <v>0</v>
      </c>
      <c r="L11" s="310">
        <f t="shared" si="4"/>
        <v>0</v>
      </c>
      <c r="M11" s="310">
        <f t="shared" si="2"/>
        <v>0</v>
      </c>
      <c r="N11" s="310">
        <f t="shared" si="2"/>
        <v>0</v>
      </c>
      <c r="O11" s="310">
        <f t="shared" si="2"/>
        <v>0</v>
      </c>
      <c r="P11" s="129"/>
      <c r="R11" s="121"/>
      <c r="S11" s="121"/>
    </row>
    <row r="12" spans="1:19" x14ac:dyDescent="0.25">
      <c r="A12" s="134"/>
      <c r="B12" s="190" t="s">
        <v>431</v>
      </c>
      <c r="C12" s="319" t="s">
        <v>34</v>
      </c>
      <c r="D12" s="113">
        <f t="shared" ref="D12:O12" si="5">SUM(D8:D11)</f>
        <v>48838.932000000001</v>
      </c>
      <c r="E12" s="113">
        <f t="shared" si="5"/>
        <v>48838.932000000001</v>
      </c>
      <c r="F12" s="308">
        <f t="shared" si="5"/>
        <v>47741.842820195117</v>
      </c>
      <c r="G12" s="308">
        <f t="shared" si="5"/>
        <v>0</v>
      </c>
      <c r="H12" s="308">
        <f t="shared" si="5"/>
        <v>0</v>
      </c>
      <c r="I12" s="308">
        <f t="shared" si="5"/>
        <v>1097.0891798048781</v>
      </c>
      <c r="J12" s="308">
        <f t="shared" si="5"/>
        <v>0</v>
      </c>
      <c r="K12" s="113">
        <f t="shared" si="5"/>
        <v>0</v>
      </c>
      <c r="L12" s="308">
        <f t="shared" si="5"/>
        <v>0</v>
      </c>
      <c r="M12" s="308">
        <f t="shared" si="5"/>
        <v>0</v>
      </c>
      <c r="N12" s="308">
        <f t="shared" si="5"/>
        <v>0</v>
      </c>
      <c r="O12" s="308">
        <f t="shared" si="5"/>
        <v>0</v>
      </c>
      <c r="P12" s="129"/>
      <c r="R12" s="121"/>
      <c r="S12" s="121"/>
    </row>
    <row r="13" spans="1:19" x14ac:dyDescent="0.25">
      <c r="A13" s="134"/>
      <c r="B13" s="309" t="s">
        <v>177</v>
      </c>
      <c r="C13" s="319" t="s">
        <v>34</v>
      </c>
      <c r="D13" s="99">
        <f t="shared" ref="D13:D18" si="6">E13+K13</f>
        <v>4215.6319999999996</v>
      </c>
      <c r="E13" s="99">
        <f>'KostenRechnung 2'!$D12-'KostenRechnung 2'!$D$56</f>
        <v>4215.6319999999996</v>
      </c>
      <c r="F13" s="310">
        <f>'KostenRechnung 2'!$D$54+'KostenRechnung 2'!$D$57+IF(Vorräte!$C$16&lt;=0,0,ABS(Vorräte!$C$16)*'KostenRechnung 1'!$D$68/1000)</f>
        <v>4125.6319999999996</v>
      </c>
      <c r="G13" s="310">
        <f>'KostenRechnung 2'!$D$55+'KostenRechnung 2'!$D$58+IF(Vorräte!$C$16&gt;0,0,ABS(Vorräte!$C$16)*'KostenRechnung 1'!$D$68/1000)</f>
        <v>0</v>
      </c>
      <c r="H13" s="311">
        <v>0</v>
      </c>
      <c r="I13" s="310">
        <f>'KostenRechnung 2'!$D$60</f>
        <v>90</v>
      </c>
      <c r="J13" s="310">
        <f>'KostenRechnung 2'!$D$61</f>
        <v>0</v>
      </c>
      <c r="K13" s="99">
        <f>'KostenRechnung 2'!$E12-'KostenRechnung 2'!$E$56</f>
        <v>0</v>
      </c>
      <c r="L13" s="310">
        <f>'KostenRechnung 2'!$E$54+'KostenRechnung 2'!$E$57+IF(Vorräte!$I$16&lt;=0,0,ABS(Vorräte!$I$16)*'KostenRechnung 1'!$D$73/1000)</f>
        <v>0</v>
      </c>
      <c r="M13" s="310">
        <f>'KostenRechnung 2'!$E$55+'KostenRechnung 2'!$E$58+IF(Vorräte!$I$16&gt;0,0,ABS(Vorräte!$I$16)*'KostenRechnung 1'!$D$73/1000)</f>
        <v>0</v>
      </c>
      <c r="N13" s="310">
        <f>'KostenRechnung 2'!$E$60</f>
        <v>0</v>
      </c>
      <c r="O13" s="310">
        <f>'KostenRechnung 2'!$E$61</f>
        <v>0</v>
      </c>
      <c r="P13" s="129"/>
      <c r="R13" s="121"/>
      <c r="S13" s="121"/>
    </row>
    <row r="14" spans="1:19" x14ac:dyDescent="0.25">
      <c r="A14" s="134"/>
      <c r="B14" s="309" t="s">
        <v>178</v>
      </c>
      <c r="C14" s="319" t="s">
        <v>34</v>
      </c>
      <c r="D14" s="99">
        <f t="shared" si="6"/>
        <v>3901.752</v>
      </c>
      <c r="E14" s="99">
        <f>'KostenRechnung 2'!$D13+'KostenRechnung 2'!$D$56</f>
        <v>3901.752</v>
      </c>
      <c r="F14" s="310">
        <f>IF(SUM($F$23:$H$23)=0,0,$E14*F$23/SUM($F$23:$H$23))</f>
        <v>3901.752</v>
      </c>
      <c r="G14" s="310">
        <f t="shared" ref="G14:H14" si="7">IF(SUM($F$23:$H$23)=0,0,$E14*G$23/SUM($F$23:$H$23))</f>
        <v>0</v>
      </c>
      <c r="H14" s="310">
        <f t="shared" si="7"/>
        <v>0</v>
      </c>
      <c r="I14" s="311">
        <v>0</v>
      </c>
      <c r="J14" s="311">
        <v>0</v>
      </c>
      <c r="K14" s="99">
        <f>'KostenRechnung 2'!$E13+'KostenRechnung 2'!$E$56</f>
        <v>0</v>
      </c>
      <c r="L14" s="310">
        <f>IF(SUM($L$23:$M$23)=0,0,$K14*L$23/SUM($L$23:$M$23))</f>
        <v>0</v>
      </c>
      <c r="M14" s="310">
        <f>IF(SUM($L$23:$M$23)=0,0,$K14*M$23/SUM($L$23:$M$23))</f>
        <v>0</v>
      </c>
      <c r="N14" s="311">
        <v>0</v>
      </c>
      <c r="O14" s="311">
        <v>0</v>
      </c>
      <c r="P14" s="129"/>
      <c r="R14" s="121"/>
      <c r="S14" s="121"/>
    </row>
    <row r="15" spans="1:19" x14ac:dyDescent="0.25">
      <c r="A15" s="134"/>
      <c r="B15" s="309" t="s">
        <v>179</v>
      </c>
      <c r="C15" s="319" t="s">
        <v>34</v>
      </c>
      <c r="D15" s="99">
        <f t="shared" si="6"/>
        <v>4183.4670000000006</v>
      </c>
      <c r="E15" s="99">
        <f>'KostenRechnung 2'!$D14</f>
        <v>4183.4670000000006</v>
      </c>
      <c r="F15" s="310">
        <f t="shared" ref="F15:J18" si="8">IF($E$23=0,0,$E15*F$23/$E$23)</f>
        <v>4089.4920461707325</v>
      </c>
      <c r="G15" s="310">
        <f t="shared" si="8"/>
        <v>0</v>
      </c>
      <c r="H15" s="310">
        <f t="shared" si="8"/>
        <v>0</v>
      </c>
      <c r="I15" s="310">
        <f t="shared" si="8"/>
        <v>93.974953829268301</v>
      </c>
      <c r="J15" s="310">
        <f t="shared" si="8"/>
        <v>0</v>
      </c>
      <c r="K15" s="99">
        <f>'KostenRechnung 2'!$E14</f>
        <v>0</v>
      </c>
      <c r="L15" s="310">
        <f t="shared" ref="L15:O18" si="9">IF($K$23=0,0,$K15*L$23/$K$23)</f>
        <v>0</v>
      </c>
      <c r="M15" s="310">
        <f t="shared" si="9"/>
        <v>0</v>
      </c>
      <c r="N15" s="310">
        <f t="shared" si="9"/>
        <v>0</v>
      </c>
      <c r="O15" s="310">
        <f t="shared" si="9"/>
        <v>0</v>
      </c>
      <c r="P15" s="129"/>
      <c r="R15" s="121"/>
      <c r="S15" s="121"/>
    </row>
    <row r="16" spans="1:19" x14ac:dyDescent="0.25">
      <c r="A16" s="134"/>
      <c r="B16" s="309" t="s">
        <v>180</v>
      </c>
      <c r="C16" s="319" t="s">
        <v>34</v>
      </c>
      <c r="D16" s="99">
        <f t="shared" si="6"/>
        <v>1005.4</v>
      </c>
      <c r="E16" s="99">
        <f>'KostenRechnung 2'!$D15</f>
        <v>1005.4</v>
      </c>
      <c r="F16" s="310">
        <f t="shared" si="8"/>
        <v>982.81528292682935</v>
      </c>
      <c r="G16" s="310">
        <f t="shared" si="8"/>
        <v>0</v>
      </c>
      <c r="H16" s="310">
        <f t="shared" si="8"/>
        <v>0</v>
      </c>
      <c r="I16" s="310">
        <f t="shared" si="8"/>
        <v>22.584717073170733</v>
      </c>
      <c r="J16" s="310">
        <f t="shared" si="8"/>
        <v>0</v>
      </c>
      <c r="K16" s="99">
        <f>'KostenRechnung 2'!$E15</f>
        <v>0</v>
      </c>
      <c r="L16" s="310">
        <f t="shared" si="9"/>
        <v>0</v>
      </c>
      <c r="M16" s="310">
        <f t="shared" si="9"/>
        <v>0</v>
      </c>
      <c r="N16" s="310">
        <f t="shared" si="9"/>
        <v>0</v>
      </c>
      <c r="O16" s="310">
        <f t="shared" si="9"/>
        <v>0</v>
      </c>
      <c r="P16" s="129"/>
      <c r="R16" s="121"/>
      <c r="S16" s="121"/>
    </row>
    <row r="17" spans="1:19" x14ac:dyDescent="0.25">
      <c r="A17" s="134"/>
      <c r="B17" s="309" t="s">
        <v>181</v>
      </c>
      <c r="C17" s="319" t="s">
        <v>34</v>
      </c>
      <c r="D17" s="99">
        <f t="shared" si="6"/>
        <v>290</v>
      </c>
      <c r="E17" s="99">
        <f>'KostenRechnung 2'!$D16</f>
        <v>290</v>
      </c>
      <c r="F17" s="310">
        <f t="shared" si="8"/>
        <v>283.48560975609757</v>
      </c>
      <c r="G17" s="310">
        <f t="shared" si="8"/>
        <v>0</v>
      </c>
      <c r="H17" s="310">
        <f t="shared" si="8"/>
        <v>0</v>
      </c>
      <c r="I17" s="310">
        <f t="shared" si="8"/>
        <v>6.5143902439024393</v>
      </c>
      <c r="J17" s="310">
        <f t="shared" si="8"/>
        <v>0</v>
      </c>
      <c r="K17" s="99">
        <f>'KostenRechnung 2'!$E16</f>
        <v>0</v>
      </c>
      <c r="L17" s="310">
        <f t="shared" si="9"/>
        <v>0</v>
      </c>
      <c r="M17" s="310">
        <f t="shared" si="9"/>
        <v>0</v>
      </c>
      <c r="N17" s="310">
        <f t="shared" si="9"/>
        <v>0</v>
      </c>
      <c r="O17" s="310">
        <f t="shared" si="9"/>
        <v>0</v>
      </c>
      <c r="P17" s="129"/>
      <c r="R17" s="121"/>
      <c r="S17" s="121"/>
    </row>
    <row r="18" spans="1:19" x14ac:dyDescent="0.25">
      <c r="A18" s="134"/>
      <c r="B18" s="309" t="s">
        <v>266</v>
      </c>
      <c r="C18" s="319" t="s">
        <v>34</v>
      </c>
      <c r="D18" s="99">
        <f t="shared" si="6"/>
        <v>0</v>
      </c>
      <c r="E18" s="99">
        <f>'KostenRechnung 2'!$D17</f>
        <v>0</v>
      </c>
      <c r="F18" s="310">
        <f t="shared" si="8"/>
        <v>0</v>
      </c>
      <c r="G18" s="310">
        <f t="shared" si="8"/>
        <v>0</v>
      </c>
      <c r="H18" s="310">
        <f t="shared" si="8"/>
        <v>0</v>
      </c>
      <c r="I18" s="310">
        <f t="shared" si="8"/>
        <v>0</v>
      </c>
      <c r="J18" s="310">
        <f t="shared" si="8"/>
        <v>0</v>
      </c>
      <c r="K18" s="99">
        <f>'KostenRechnung 2'!$E17</f>
        <v>0</v>
      </c>
      <c r="L18" s="310">
        <f t="shared" si="9"/>
        <v>0</v>
      </c>
      <c r="M18" s="310">
        <f t="shared" si="9"/>
        <v>0</v>
      </c>
      <c r="N18" s="310">
        <f t="shared" si="9"/>
        <v>0</v>
      </c>
      <c r="O18" s="310">
        <f t="shared" si="9"/>
        <v>0</v>
      </c>
      <c r="P18" s="129"/>
      <c r="R18" s="121"/>
      <c r="S18" s="121"/>
    </row>
    <row r="19" spans="1:19" x14ac:dyDescent="0.25">
      <c r="A19" s="134"/>
      <c r="B19" s="190" t="s">
        <v>183</v>
      </c>
      <c r="C19" s="319" t="s">
        <v>34</v>
      </c>
      <c r="D19" s="113">
        <f>SUM(D12:D18)</f>
        <v>62435.182999999997</v>
      </c>
      <c r="E19" s="113">
        <f>SUM(E12:E18)</f>
        <v>62435.182999999997</v>
      </c>
      <c r="F19" s="308">
        <f t="shared" ref="F19:J19" si="10">SUM(F12:F18)</f>
        <v>61125.019759048773</v>
      </c>
      <c r="G19" s="308">
        <f t="shared" si="10"/>
        <v>0</v>
      </c>
      <c r="H19" s="308">
        <f t="shared" si="10"/>
        <v>0</v>
      </c>
      <c r="I19" s="308">
        <f t="shared" si="10"/>
        <v>1310.1632409512194</v>
      </c>
      <c r="J19" s="308">
        <f t="shared" si="10"/>
        <v>0</v>
      </c>
      <c r="K19" s="113">
        <f>SUM(K12:K18)</f>
        <v>0</v>
      </c>
      <c r="L19" s="308">
        <f t="shared" ref="L19:O19" si="11">SUM(L12:L18)</f>
        <v>0</v>
      </c>
      <c r="M19" s="308">
        <f t="shared" si="11"/>
        <v>0</v>
      </c>
      <c r="N19" s="308">
        <f t="shared" si="11"/>
        <v>0</v>
      </c>
      <c r="O19" s="308">
        <f t="shared" si="11"/>
        <v>0</v>
      </c>
      <c r="P19" s="129"/>
      <c r="R19" s="121"/>
      <c r="S19" s="121"/>
    </row>
    <row r="20" spans="1:19" ht="6.8" customHeight="1" x14ac:dyDescent="0.25">
      <c r="A20" s="126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29"/>
      <c r="R20" s="121"/>
      <c r="S20" s="121"/>
    </row>
    <row r="21" spans="1:19" x14ac:dyDescent="0.25">
      <c r="A21" s="134"/>
      <c r="B21" s="190" t="s">
        <v>17</v>
      </c>
      <c r="C21" s="319" t="s">
        <v>34</v>
      </c>
      <c r="D21" s="113">
        <f>D6-D19</f>
        <v>2791.823000000004</v>
      </c>
      <c r="E21" s="113">
        <f>E6-E19</f>
        <v>2791.823000000004</v>
      </c>
      <c r="F21" s="308">
        <f>F6+F19</f>
        <v>125251.41975904877</v>
      </c>
      <c r="G21" s="308">
        <f>G6+G19</f>
        <v>0</v>
      </c>
      <c r="H21" s="308">
        <f>H6+H19</f>
        <v>0</v>
      </c>
      <c r="I21" s="308">
        <f>I6+I19</f>
        <v>2410.7692409512206</v>
      </c>
      <c r="J21" s="308">
        <f>J6+J19</f>
        <v>0</v>
      </c>
      <c r="K21" s="113">
        <f>K6-K19</f>
        <v>0</v>
      </c>
      <c r="L21" s="308">
        <f>L6+L19</f>
        <v>0</v>
      </c>
      <c r="M21" s="308">
        <f>M6+M19</f>
        <v>0</v>
      </c>
      <c r="N21" s="308">
        <f>N6+N19</f>
        <v>0</v>
      </c>
      <c r="O21" s="308">
        <f>O6+O19</f>
        <v>0</v>
      </c>
      <c r="P21" s="129"/>
      <c r="R21" s="121"/>
      <c r="S21" s="121"/>
    </row>
    <row r="22" spans="1:19" ht="6.8" customHeight="1" x14ac:dyDescent="0.25">
      <c r="A22" s="126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29"/>
      <c r="R22" s="121"/>
      <c r="S22" s="121"/>
    </row>
    <row r="23" spans="1:19" x14ac:dyDescent="0.25">
      <c r="A23" s="134"/>
      <c r="B23" s="320" t="s">
        <v>440</v>
      </c>
      <c r="C23" s="319" t="s">
        <v>441</v>
      </c>
      <c r="D23" s="316"/>
      <c r="E23" s="312">
        <f>Fertigung!$D$6</f>
        <v>41000</v>
      </c>
      <c r="F23" s="313">
        <f>ErlösRechnung!$E$10</f>
        <v>40079</v>
      </c>
      <c r="G23" s="313">
        <f>ErlösRechnung!$E$11</f>
        <v>0</v>
      </c>
      <c r="H23" s="313">
        <f>ErlösRechnung!$E$12</f>
        <v>0</v>
      </c>
      <c r="I23" s="313">
        <f>Vorräte!$C$18-Vorräte!$C$14</f>
        <v>921</v>
      </c>
      <c r="J23" s="313">
        <f>Vorräte!$F$18-Vorräte!$F$14</f>
        <v>0</v>
      </c>
      <c r="K23" s="312">
        <f>Fertigung!$E$6</f>
        <v>0</v>
      </c>
      <c r="L23" s="313">
        <f>ErlösRechnung!$E$23</f>
        <v>0</v>
      </c>
      <c r="M23" s="313">
        <f>ErlösRechnung!$E$24</f>
        <v>0</v>
      </c>
      <c r="N23" s="313">
        <f>Vorräte!$I$18-Vorräte!$I$14</f>
        <v>0</v>
      </c>
      <c r="O23" s="313">
        <f>Vorräte!$L$18-Vorräte!$L$14</f>
        <v>0</v>
      </c>
      <c r="P23" s="129"/>
    </row>
    <row r="24" spans="1:19" x14ac:dyDescent="0.25">
      <c r="A24" s="126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129"/>
    </row>
    <row r="25" spans="1:19" x14ac:dyDescent="0.25">
      <c r="A25" s="126"/>
      <c r="B25" s="373" t="s">
        <v>486</v>
      </c>
      <c r="C25" s="42"/>
      <c r="D25" s="42"/>
      <c r="E25" s="42"/>
      <c r="F25" s="367" t="s">
        <v>435</v>
      </c>
      <c r="G25" s="375"/>
      <c r="H25" s="368"/>
      <c r="I25" s="367" t="s">
        <v>436</v>
      </c>
      <c r="J25" s="368"/>
      <c r="K25" s="42"/>
      <c r="L25" s="369" t="s">
        <v>435</v>
      </c>
      <c r="M25" s="370"/>
      <c r="N25" s="367" t="s">
        <v>436</v>
      </c>
      <c r="O25" s="368"/>
      <c r="P25" s="129"/>
    </row>
    <row r="26" spans="1:19" x14ac:dyDescent="0.25">
      <c r="A26" s="126"/>
      <c r="B26" s="374"/>
      <c r="C26" s="42"/>
      <c r="D26" s="321"/>
      <c r="E26" s="146" t="s">
        <v>305</v>
      </c>
      <c r="F26" s="307" t="s">
        <v>272</v>
      </c>
      <c r="G26" s="307" t="s">
        <v>273</v>
      </c>
      <c r="H26" s="307" t="s">
        <v>437</v>
      </c>
      <c r="I26" s="307" t="s">
        <v>272</v>
      </c>
      <c r="J26" s="307" t="s">
        <v>273</v>
      </c>
      <c r="K26" s="146" t="s">
        <v>61</v>
      </c>
      <c r="L26" s="307" t="s">
        <v>272</v>
      </c>
      <c r="M26" s="307" t="s">
        <v>273</v>
      </c>
      <c r="N26" s="307" t="s">
        <v>272</v>
      </c>
      <c r="O26" s="307" t="s">
        <v>273</v>
      </c>
      <c r="P26" s="129"/>
    </row>
    <row r="27" spans="1:19" x14ac:dyDescent="0.25">
      <c r="A27" s="134"/>
      <c r="B27" s="190" t="s">
        <v>487</v>
      </c>
      <c r="C27" s="319" t="s">
        <v>439</v>
      </c>
      <c r="D27" s="322"/>
      <c r="E27" s="113">
        <f t="shared" ref="E27:O27" si="12">IF(E$23=0,0,1000*E6/E$23)</f>
        <v>1590.9025853658536</v>
      </c>
      <c r="F27" s="308">
        <f t="shared" si="12"/>
        <v>1600</v>
      </c>
      <c r="G27" s="308">
        <f t="shared" si="12"/>
        <v>0</v>
      </c>
      <c r="H27" s="308">
        <f t="shared" si="12"/>
        <v>0</v>
      </c>
      <c r="I27" s="308">
        <f t="shared" si="12"/>
        <v>1195.0119435396321</v>
      </c>
      <c r="J27" s="308">
        <f t="shared" si="12"/>
        <v>0</v>
      </c>
      <c r="K27" s="113">
        <f t="shared" si="12"/>
        <v>0</v>
      </c>
      <c r="L27" s="308">
        <f t="shared" si="12"/>
        <v>0</v>
      </c>
      <c r="M27" s="308">
        <f t="shared" si="12"/>
        <v>0</v>
      </c>
      <c r="N27" s="308">
        <f t="shared" si="12"/>
        <v>0</v>
      </c>
      <c r="O27" s="308">
        <f t="shared" si="12"/>
        <v>0</v>
      </c>
      <c r="P27" s="129"/>
    </row>
    <row r="28" spans="1:19" ht="6.8" customHeight="1" x14ac:dyDescent="0.25">
      <c r="A28" s="126"/>
      <c r="B28" s="131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29"/>
    </row>
    <row r="29" spans="1:19" x14ac:dyDescent="0.25">
      <c r="A29" s="134"/>
      <c r="B29" s="309" t="s">
        <v>171</v>
      </c>
      <c r="C29" s="319" t="s">
        <v>439</v>
      </c>
      <c r="D29" s="317"/>
      <c r="E29" s="99">
        <f t="shared" ref="E29:O29" si="13">IF(E$23=0,0,1000*E8/E$23)</f>
        <v>476.24543902439024</v>
      </c>
      <c r="F29" s="310">
        <f t="shared" si="13"/>
        <v>476.24543902439018</v>
      </c>
      <c r="G29" s="310">
        <f t="shared" si="13"/>
        <v>0</v>
      </c>
      <c r="H29" s="310">
        <f t="shared" si="13"/>
        <v>0</v>
      </c>
      <c r="I29" s="310">
        <f t="shared" si="13"/>
        <v>476.24543902439018</v>
      </c>
      <c r="J29" s="310">
        <f t="shared" si="13"/>
        <v>0</v>
      </c>
      <c r="K29" s="99">
        <f t="shared" si="13"/>
        <v>0</v>
      </c>
      <c r="L29" s="310">
        <f t="shared" si="13"/>
        <v>0</v>
      </c>
      <c r="M29" s="310">
        <f t="shared" si="13"/>
        <v>0</v>
      </c>
      <c r="N29" s="310">
        <f t="shared" si="13"/>
        <v>0</v>
      </c>
      <c r="O29" s="310">
        <f t="shared" si="13"/>
        <v>0</v>
      </c>
      <c r="P29" s="129"/>
    </row>
    <row r="30" spans="1:19" x14ac:dyDescent="0.25">
      <c r="A30" s="134"/>
      <c r="B30" s="309" t="s">
        <v>173</v>
      </c>
      <c r="C30" s="319" t="s">
        <v>439</v>
      </c>
      <c r="D30" s="317"/>
      <c r="E30" s="99">
        <f t="shared" ref="E30:O30" si="14">IF(E$23=0,0,1000*E9/E$23)</f>
        <v>18.006317073170731</v>
      </c>
      <c r="F30" s="310">
        <f t="shared" si="14"/>
        <v>18.006317073170731</v>
      </c>
      <c r="G30" s="310">
        <f t="shared" si="14"/>
        <v>0</v>
      </c>
      <c r="H30" s="310">
        <f t="shared" si="14"/>
        <v>0</v>
      </c>
      <c r="I30" s="310">
        <f t="shared" si="14"/>
        <v>18.006317073170731</v>
      </c>
      <c r="J30" s="310">
        <f t="shared" si="14"/>
        <v>0</v>
      </c>
      <c r="K30" s="99">
        <f t="shared" si="14"/>
        <v>0</v>
      </c>
      <c r="L30" s="310">
        <f t="shared" si="14"/>
        <v>0</v>
      </c>
      <c r="M30" s="310">
        <f t="shared" si="14"/>
        <v>0</v>
      </c>
      <c r="N30" s="310">
        <f t="shared" si="14"/>
        <v>0</v>
      </c>
      <c r="O30" s="310">
        <f t="shared" si="14"/>
        <v>0</v>
      </c>
      <c r="P30" s="129"/>
    </row>
    <row r="31" spans="1:19" x14ac:dyDescent="0.25">
      <c r="A31" s="134"/>
      <c r="B31" s="309" t="s">
        <v>174</v>
      </c>
      <c r="C31" s="319" t="s">
        <v>439</v>
      </c>
      <c r="D31" s="317"/>
      <c r="E31" s="99">
        <f t="shared" ref="E31:O31" si="15">IF(E$23=0,0,1000*E10/E$23)</f>
        <v>409.79536585365855</v>
      </c>
      <c r="F31" s="310">
        <f t="shared" si="15"/>
        <v>409.79536585365855</v>
      </c>
      <c r="G31" s="310">
        <f t="shared" si="15"/>
        <v>0</v>
      </c>
      <c r="H31" s="310">
        <f t="shared" si="15"/>
        <v>0</v>
      </c>
      <c r="I31" s="310">
        <f t="shared" si="15"/>
        <v>409.79536585365855</v>
      </c>
      <c r="J31" s="310">
        <f t="shared" si="15"/>
        <v>0</v>
      </c>
      <c r="K31" s="99">
        <f t="shared" si="15"/>
        <v>0</v>
      </c>
      <c r="L31" s="310">
        <f t="shared" si="15"/>
        <v>0</v>
      </c>
      <c r="M31" s="310">
        <f t="shared" si="15"/>
        <v>0</v>
      </c>
      <c r="N31" s="310">
        <f t="shared" si="15"/>
        <v>0</v>
      </c>
      <c r="O31" s="310">
        <f t="shared" si="15"/>
        <v>0</v>
      </c>
      <c r="P31" s="129"/>
    </row>
    <row r="32" spans="1:19" x14ac:dyDescent="0.25">
      <c r="A32" s="134"/>
      <c r="B32" s="309" t="s">
        <v>175</v>
      </c>
      <c r="C32" s="319" t="s">
        <v>439</v>
      </c>
      <c r="D32" s="317"/>
      <c r="E32" s="99">
        <f t="shared" ref="E32:O32" si="16">IF(E$23=0,0,1000*E11/E$23)</f>
        <v>287.14634146341461</v>
      </c>
      <c r="F32" s="310">
        <f t="shared" si="16"/>
        <v>287.14634146341461</v>
      </c>
      <c r="G32" s="310">
        <f t="shared" si="16"/>
        <v>0</v>
      </c>
      <c r="H32" s="310">
        <f t="shared" si="16"/>
        <v>0</v>
      </c>
      <c r="I32" s="310">
        <f t="shared" si="16"/>
        <v>287.14634146341467</v>
      </c>
      <c r="J32" s="310">
        <f t="shared" si="16"/>
        <v>0</v>
      </c>
      <c r="K32" s="99">
        <f t="shared" si="16"/>
        <v>0</v>
      </c>
      <c r="L32" s="310">
        <f t="shared" si="16"/>
        <v>0</v>
      </c>
      <c r="M32" s="310">
        <f t="shared" si="16"/>
        <v>0</v>
      </c>
      <c r="N32" s="310">
        <f t="shared" si="16"/>
        <v>0</v>
      </c>
      <c r="O32" s="310">
        <f t="shared" si="16"/>
        <v>0</v>
      </c>
      <c r="P32" s="129"/>
    </row>
    <row r="33" spans="1:16" x14ac:dyDescent="0.25">
      <c r="A33" s="134"/>
      <c r="B33" s="190" t="s">
        <v>431</v>
      </c>
      <c r="C33" s="319" t="s">
        <v>439</v>
      </c>
      <c r="D33" s="317"/>
      <c r="E33" s="113">
        <f t="shared" ref="E33:O33" si="17">SUM(E29:E32)</f>
        <v>1191.1934634146342</v>
      </c>
      <c r="F33" s="308">
        <f t="shared" si="17"/>
        <v>1191.1934634146342</v>
      </c>
      <c r="G33" s="308">
        <f t="shared" si="17"/>
        <v>0</v>
      </c>
      <c r="H33" s="308">
        <f t="shared" si="17"/>
        <v>0</v>
      </c>
      <c r="I33" s="308">
        <f t="shared" si="17"/>
        <v>1191.1934634146342</v>
      </c>
      <c r="J33" s="308">
        <f t="shared" si="17"/>
        <v>0</v>
      </c>
      <c r="K33" s="113">
        <f t="shared" si="17"/>
        <v>0</v>
      </c>
      <c r="L33" s="308">
        <f t="shared" si="17"/>
        <v>0</v>
      </c>
      <c r="M33" s="308">
        <f t="shared" si="17"/>
        <v>0</v>
      </c>
      <c r="N33" s="308">
        <f t="shared" si="17"/>
        <v>0</v>
      </c>
      <c r="O33" s="308">
        <f t="shared" si="17"/>
        <v>0</v>
      </c>
      <c r="P33" s="129"/>
    </row>
    <row r="34" spans="1:16" x14ac:dyDescent="0.25">
      <c r="A34" s="134"/>
      <c r="B34" s="309" t="s">
        <v>177</v>
      </c>
      <c r="C34" s="319" t="s">
        <v>439</v>
      </c>
      <c r="D34" s="317"/>
      <c r="E34" s="99">
        <f t="shared" ref="E34:O34" si="18">IF(E$23=0,0,1000*E13/E$23)</f>
        <v>102.82029268292683</v>
      </c>
      <c r="F34" s="310">
        <f t="shared" si="18"/>
        <v>102.93749844057984</v>
      </c>
      <c r="G34" s="310">
        <f t="shared" si="18"/>
        <v>0</v>
      </c>
      <c r="H34" s="311">
        <f t="shared" si="18"/>
        <v>0</v>
      </c>
      <c r="I34" s="310">
        <f t="shared" si="18"/>
        <v>97.719869706840385</v>
      </c>
      <c r="J34" s="310">
        <f t="shared" si="18"/>
        <v>0</v>
      </c>
      <c r="K34" s="99">
        <f t="shared" si="18"/>
        <v>0</v>
      </c>
      <c r="L34" s="310">
        <f t="shared" si="18"/>
        <v>0</v>
      </c>
      <c r="M34" s="310">
        <f t="shared" si="18"/>
        <v>0</v>
      </c>
      <c r="N34" s="310">
        <f t="shared" si="18"/>
        <v>0</v>
      </c>
      <c r="O34" s="310">
        <f t="shared" si="18"/>
        <v>0</v>
      </c>
      <c r="P34" s="129"/>
    </row>
    <row r="35" spans="1:16" x14ac:dyDescent="0.25">
      <c r="A35" s="134"/>
      <c r="B35" s="309" t="s">
        <v>178</v>
      </c>
      <c r="C35" s="319" t="s">
        <v>439</v>
      </c>
      <c r="D35" s="317"/>
      <c r="E35" s="99">
        <f t="shared" ref="E35:O35" si="19">IF(E$23=0,0,1000*E14/E$23)</f>
        <v>95.164682926829272</v>
      </c>
      <c r="F35" s="310">
        <f t="shared" si="19"/>
        <v>97.351530726814545</v>
      </c>
      <c r="G35" s="310">
        <f t="shared" si="19"/>
        <v>0</v>
      </c>
      <c r="H35" s="310">
        <f t="shared" si="19"/>
        <v>0</v>
      </c>
      <c r="I35" s="311">
        <f t="shared" si="19"/>
        <v>0</v>
      </c>
      <c r="J35" s="311">
        <f t="shared" si="19"/>
        <v>0</v>
      </c>
      <c r="K35" s="99">
        <f t="shared" si="19"/>
        <v>0</v>
      </c>
      <c r="L35" s="310">
        <f t="shared" si="19"/>
        <v>0</v>
      </c>
      <c r="M35" s="310">
        <f t="shared" si="19"/>
        <v>0</v>
      </c>
      <c r="N35" s="311">
        <f t="shared" si="19"/>
        <v>0</v>
      </c>
      <c r="O35" s="311">
        <f t="shared" si="19"/>
        <v>0</v>
      </c>
      <c r="P35" s="129"/>
    </row>
    <row r="36" spans="1:16" x14ac:dyDescent="0.25">
      <c r="A36" s="134"/>
      <c r="B36" s="309" t="s">
        <v>179</v>
      </c>
      <c r="C36" s="319" t="s">
        <v>439</v>
      </c>
      <c r="D36" s="317"/>
      <c r="E36" s="99">
        <f t="shared" ref="E36:O36" si="20">IF(E$23=0,0,1000*E15/E$23)</f>
        <v>102.03578048780489</v>
      </c>
      <c r="F36" s="310">
        <f t="shared" si="20"/>
        <v>102.0357804878049</v>
      </c>
      <c r="G36" s="310">
        <f t="shared" si="20"/>
        <v>0</v>
      </c>
      <c r="H36" s="310">
        <f t="shared" si="20"/>
        <v>0</v>
      </c>
      <c r="I36" s="310">
        <f t="shared" si="20"/>
        <v>102.03578048780489</v>
      </c>
      <c r="J36" s="310">
        <f t="shared" si="20"/>
        <v>0</v>
      </c>
      <c r="K36" s="99">
        <f t="shared" si="20"/>
        <v>0</v>
      </c>
      <c r="L36" s="310">
        <f t="shared" si="20"/>
        <v>0</v>
      </c>
      <c r="M36" s="310">
        <f t="shared" si="20"/>
        <v>0</v>
      </c>
      <c r="N36" s="310">
        <f t="shared" si="20"/>
        <v>0</v>
      </c>
      <c r="O36" s="310">
        <f t="shared" si="20"/>
        <v>0</v>
      </c>
      <c r="P36" s="129"/>
    </row>
    <row r="37" spans="1:16" x14ac:dyDescent="0.25">
      <c r="A37" s="134"/>
      <c r="B37" s="309" t="s">
        <v>180</v>
      </c>
      <c r="C37" s="319" t="s">
        <v>439</v>
      </c>
      <c r="D37" s="317"/>
      <c r="E37" s="99">
        <f t="shared" ref="E37:O37" si="21">IF(E$23=0,0,1000*E16/E$23)</f>
        <v>24.521951219512196</v>
      </c>
      <c r="F37" s="310">
        <f t="shared" si="21"/>
        <v>24.521951219512196</v>
      </c>
      <c r="G37" s="310">
        <f t="shared" si="21"/>
        <v>0</v>
      </c>
      <c r="H37" s="310">
        <f t="shared" si="21"/>
        <v>0</v>
      </c>
      <c r="I37" s="310">
        <f t="shared" si="21"/>
        <v>24.521951219512196</v>
      </c>
      <c r="J37" s="310">
        <f t="shared" si="21"/>
        <v>0</v>
      </c>
      <c r="K37" s="99">
        <f t="shared" si="21"/>
        <v>0</v>
      </c>
      <c r="L37" s="310">
        <f t="shared" si="21"/>
        <v>0</v>
      </c>
      <c r="M37" s="310">
        <f t="shared" si="21"/>
        <v>0</v>
      </c>
      <c r="N37" s="310">
        <f t="shared" si="21"/>
        <v>0</v>
      </c>
      <c r="O37" s="310">
        <f t="shared" si="21"/>
        <v>0</v>
      </c>
      <c r="P37" s="129"/>
    </row>
    <row r="38" spans="1:16" x14ac:dyDescent="0.25">
      <c r="A38" s="134"/>
      <c r="B38" s="309" t="s">
        <v>181</v>
      </c>
      <c r="C38" s="319" t="s">
        <v>439</v>
      </c>
      <c r="D38" s="317"/>
      <c r="E38" s="99">
        <f t="shared" ref="E38:O38" si="22">IF(E$23=0,0,1000*E17/E$23)</f>
        <v>7.0731707317073171</v>
      </c>
      <c r="F38" s="310">
        <f t="shared" si="22"/>
        <v>7.0731707317073171</v>
      </c>
      <c r="G38" s="310">
        <f t="shared" si="22"/>
        <v>0</v>
      </c>
      <c r="H38" s="310">
        <f t="shared" si="22"/>
        <v>0</v>
      </c>
      <c r="I38" s="310">
        <f t="shared" si="22"/>
        <v>7.073170731707318</v>
      </c>
      <c r="J38" s="310">
        <f t="shared" si="22"/>
        <v>0</v>
      </c>
      <c r="K38" s="99">
        <f t="shared" si="22"/>
        <v>0</v>
      </c>
      <c r="L38" s="310">
        <f t="shared" si="22"/>
        <v>0</v>
      </c>
      <c r="M38" s="310">
        <f t="shared" si="22"/>
        <v>0</v>
      </c>
      <c r="N38" s="310">
        <f t="shared" si="22"/>
        <v>0</v>
      </c>
      <c r="O38" s="310">
        <f t="shared" si="22"/>
        <v>0</v>
      </c>
      <c r="P38" s="129"/>
    </row>
    <row r="39" spans="1:16" x14ac:dyDescent="0.25">
      <c r="A39" s="134"/>
      <c r="B39" s="309" t="s">
        <v>266</v>
      </c>
      <c r="C39" s="319" t="s">
        <v>439</v>
      </c>
      <c r="D39" s="317"/>
      <c r="E39" s="99">
        <f t="shared" ref="E39:O39" si="23">IF(E$23=0,0,1000*E18/E$23)</f>
        <v>0</v>
      </c>
      <c r="F39" s="310">
        <f t="shared" si="23"/>
        <v>0</v>
      </c>
      <c r="G39" s="310">
        <f t="shared" si="23"/>
        <v>0</v>
      </c>
      <c r="H39" s="310">
        <f t="shared" si="23"/>
        <v>0</v>
      </c>
      <c r="I39" s="310">
        <f t="shared" si="23"/>
        <v>0</v>
      </c>
      <c r="J39" s="310">
        <f t="shared" si="23"/>
        <v>0</v>
      </c>
      <c r="K39" s="99">
        <f t="shared" si="23"/>
        <v>0</v>
      </c>
      <c r="L39" s="310">
        <f t="shared" si="23"/>
        <v>0</v>
      </c>
      <c r="M39" s="310">
        <f t="shared" si="23"/>
        <v>0</v>
      </c>
      <c r="N39" s="310">
        <f t="shared" si="23"/>
        <v>0</v>
      </c>
      <c r="O39" s="310">
        <f t="shared" si="23"/>
        <v>0</v>
      </c>
      <c r="P39" s="129"/>
    </row>
    <row r="40" spans="1:16" x14ac:dyDescent="0.25">
      <c r="A40" s="134"/>
      <c r="B40" s="190" t="s">
        <v>442</v>
      </c>
      <c r="C40" s="319" t="s">
        <v>439</v>
      </c>
      <c r="D40" s="317"/>
      <c r="E40" s="113">
        <f t="shared" ref="E40:J40" si="24">SUM(E33:E39)</f>
        <v>1522.8093414634145</v>
      </c>
      <c r="F40" s="308">
        <f t="shared" si="24"/>
        <v>1525.1133950210531</v>
      </c>
      <c r="G40" s="308">
        <f t="shared" si="24"/>
        <v>0</v>
      </c>
      <c r="H40" s="308">
        <f t="shared" si="24"/>
        <v>0</v>
      </c>
      <c r="I40" s="308">
        <f t="shared" si="24"/>
        <v>1422.5442355604989</v>
      </c>
      <c r="J40" s="308">
        <f t="shared" si="24"/>
        <v>0</v>
      </c>
      <c r="K40" s="113">
        <f t="shared" ref="K40:O40" si="25">SUM(K33:K39)</f>
        <v>0</v>
      </c>
      <c r="L40" s="308">
        <f t="shared" si="25"/>
        <v>0</v>
      </c>
      <c r="M40" s="308">
        <f t="shared" si="25"/>
        <v>0</v>
      </c>
      <c r="N40" s="308">
        <f t="shared" si="25"/>
        <v>0</v>
      </c>
      <c r="O40" s="308">
        <f t="shared" si="25"/>
        <v>0</v>
      </c>
      <c r="P40" s="129"/>
    </row>
    <row r="41" spans="1:16" ht="6.8" customHeight="1" x14ac:dyDescent="0.25">
      <c r="A41" s="126"/>
      <c r="B41" s="131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29"/>
    </row>
    <row r="42" spans="1:16" x14ac:dyDescent="0.25">
      <c r="A42" s="134"/>
      <c r="B42" s="190" t="s">
        <v>488</v>
      </c>
      <c r="C42" s="319" t="s">
        <v>439</v>
      </c>
      <c r="D42" s="317"/>
      <c r="E42" s="113">
        <f>E27-E40</f>
        <v>68.093243902439099</v>
      </c>
      <c r="F42" s="308">
        <f>F27-F40</f>
        <v>74.886604978946934</v>
      </c>
      <c r="G42" s="308">
        <f t="shared" ref="G42:J42" si="26">G27-G40</f>
        <v>0</v>
      </c>
      <c r="H42" s="308">
        <f t="shared" si="26"/>
        <v>0</v>
      </c>
      <c r="I42" s="308">
        <f t="shared" si="26"/>
        <v>-227.53229202086686</v>
      </c>
      <c r="J42" s="308">
        <f t="shared" si="26"/>
        <v>0</v>
      </c>
      <c r="K42" s="113">
        <f>K27-K40</f>
        <v>0</v>
      </c>
      <c r="L42" s="308">
        <f>L27-L40</f>
        <v>0</v>
      </c>
      <c r="M42" s="308">
        <f t="shared" ref="M42:O42" si="27">M27-M40</f>
        <v>0</v>
      </c>
      <c r="N42" s="308">
        <f t="shared" si="27"/>
        <v>0</v>
      </c>
      <c r="O42" s="308">
        <f t="shared" si="27"/>
        <v>0</v>
      </c>
      <c r="P42" s="129"/>
    </row>
    <row r="43" spans="1:16" ht="6.8" customHeight="1" x14ac:dyDescent="0.25">
      <c r="A43" s="126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29"/>
    </row>
    <row r="44" spans="1:16" x14ac:dyDescent="0.25">
      <c r="A44" s="134"/>
      <c r="B44" s="190" t="s">
        <v>17</v>
      </c>
      <c r="C44" s="319" t="s">
        <v>34</v>
      </c>
      <c r="D44" s="316"/>
      <c r="E44" s="113">
        <f t="shared" ref="E44:J44" si="28">E$23*E42/1000</f>
        <v>2791.823000000003</v>
      </c>
      <c r="F44" s="308">
        <f t="shared" si="28"/>
        <v>3001.3802409512141</v>
      </c>
      <c r="G44" s="308">
        <f t="shared" si="28"/>
        <v>0</v>
      </c>
      <c r="H44" s="308">
        <f t="shared" si="28"/>
        <v>0</v>
      </c>
      <c r="I44" s="308">
        <f t="shared" si="28"/>
        <v>-209.55724095121838</v>
      </c>
      <c r="J44" s="308">
        <f t="shared" si="28"/>
        <v>0</v>
      </c>
      <c r="K44" s="113">
        <f>K$23*K42/1000</f>
        <v>0</v>
      </c>
      <c r="L44" s="308">
        <f>L$23*L42/1000</f>
        <v>0</v>
      </c>
      <c r="M44" s="308">
        <f>M$23*M42/1000</f>
        <v>0</v>
      </c>
      <c r="N44" s="308">
        <f>N$23*N42/1000</f>
        <v>0</v>
      </c>
      <c r="O44" s="308">
        <f>O$23*O42/1000</f>
        <v>0</v>
      </c>
      <c r="P44" s="129"/>
    </row>
    <row r="45" spans="1:16" ht="14.95" thickBot="1" x14ac:dyDescent="0.3">
      <c r="A45" s="143"/>
      <c r="B45" s="144"/>
      <c r="C45" s="144"/>
      <c r="D45" s="144"/>
      <c r="E45" s="144"/>
      <c r="F45" s="144"/>
      <c r="G45" s="314"/>
      <c r="H45" s="314"/>
      <c r="I45" s="314"/>
      <c r="J45" s="314"/>
      <c r="K45" s="314"/>
      <c r="L45" s="144"/>
      <c r="M45" s="314"/>
      <c r="N45" s="314"/>
      <c r="O45" s="314"/>
      <c r="P45" s="293" t="str">
        <f>'Aktuelle Wirtschaftsdaten'!$P$47</f>
        <v>MK_GMS_Pro 2.10</v>
      </c>
    </row>
  </sheetData>
  <mergeCells count="11">
    <mergeCell ref="N25:O25"/>
    <mergeCell ref="L25:M25"/>
    <mergeCell ref="N2:O2"/>
    <mergeCell ref="B4:B5"/>
    <mergeCell ref="F4:H4"/>
    <mergeCell ref="I4:J4"/>
    <mergeCell ref="F25:H25"/>
    <mergeCell ref="I25:J25"/>
    <mergeCell ref="L4:M4"/>
    <mergeCell ref="N4:O4"/>
    <mergeCell ref="B25:B26"/>
  </mergeCells>
  <pageMargins left="0.7" right="0.7" top="0.78740157499999996" bottom="0.78740157499999996" header="0.3" footer="0.3"/>
  <pageSetup paperSize="9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4.5" customWidth="1"/>
    <col min="3" max="3" width="10" customWidth="1"/>
    <col min="4" max="7" width="11.125" customWidth="1"/>
    <col min="8" max="8" width="7.125" customWidth="1"/>
    <col min="9" max="9" width="1.375" customWidth="1"/>
    <col min="10" max="13" width="11.5" customWidth="1"/>
  </cols>
  <sheetData>
    <row r="1" spans="1:9" ht="7.15" customHeight="1" x14ac:dyDescent="0.25">
      <c r="A1" s="100"/>
      <c r="B1" s="101"/>
      <c r="C1" s="101"/>
      <c r="D1" s="101"/>
      <c r="E1" s="101"/>
      <c r="F1" s="101"/>
      <c r="G1" s="101"/>
      <c r="H1" s="101"/>
      <c r="I1" s="103"/>
    </row>
    <row r="2" spans="1:9" ht="23.45" customHeight="1" x14ac:dyDescent="0.4">
      <c r="A2" s="106"/>
      <c r="B2" s="38" t="s">
        <v>354</v>
      </c>
      <c r="C2" s="40"/>
      <c r="D2" s="40"/>
      <c r="E2" s="40"/>
      <c r="F2" s="40"/>
      <c r="G2" s="78">
        <f>'Aktuelle Wirtschaftsdaten'!$O$2</f>
        <v>-1</v>
      </c>
      <c r="H2" s="42"/>
      <c r="I2" s="108"/>
    </row>
    <row r="3" spans="1:9" ht="5.95" customHeight="1" x14ac:dyDescent="0.25">
      <c r="A3" s="106"/>
      <c r="B3" s="42"/>
      <c r="C3" s="42"/>
      <c r="D3" s="42"/>
      <c r="E3" s="42"/>
      <c r="F3" s="42"/>
      <c r="G3" s="42"/>
      <c r="H3" s="42"/>
      <c r="I3" s="108"/>
    </row>
    <row r="4" spans="1:9" x14ac:dyDescent="0.25">
      <c r="A4" s="106"/>
      <c r="B4" s="42"/>
      <c r="C4" s="42"/>
      <c r="D4" s="154" t="s">
        <v>305</v>
      </c>
      <c r="E4" s="154" t="s">
        <v>61</v>
      </c>
      <c r="F4" s="42"/>
      <c r="G4" s="42"/>
      <c r="H4" s="42"/>
      <c r="I4" s="108"/>
    </row>
    <row r="5" spans="1:9" x14ac:dyDescent="0.25">
      <c r="A5" s="106"/>
      <c r="B5" s="196" t="s">
        <v>91</v>
      </c>
      <c r="C5" s="53" t="s">
        <v>55</v>
      </c>
      <c r="D5" s="197">
        <v>41000</v>
      </c>
      <c r="E5" s="197">
        <v>0</v>
      </c>
      <c r="F5" s="42"/>
      <c r="G5" s="42"/>
      <c r="H5" s="42"/>
      <c r="I5" s="108"/>
    </row>
    <row r="6" spans="1:9" x14ac:dyDescent="0.25">
      <c r="A6" s="106"/>
      <c r="B6" s="52" t="s">
        <v>92</v>
      </c>
      <c r="C6" s="53" t="s">
        <v>55</v>
      </c>
      <c r="D6" s="149">
        <f>MIN(D5,D27:D28)</f>
        <v>41000</v>
      </c>
      <c r="E6" s="149">
        <f>MIN(E5,E27:E28)</f>
        <v>0</v>
      </c>
      <c r="F6" s="42"/>
      <c r="G6" s="42"/>
      <c r="H6" s="42"/>
      <c r="I6" s="108"/>
    </row>
    <row r="7" spans="1:9" ht="14.45" customHeight="1" x14ac:dyDescent="0.25">
      <c r="A7" s="106"/>
      <c r="B7" s="376" t="s">
        <v>93</v>
      </c>
      <c r="C7" s="42"/>
      <c r="D7" s="42"/>
      <c r="E7" s="42"/>
      <c r="F7" s="42"/>
      <c r="G7" s="42"/>
      <c r="H7" s="42"/>
      <c r="I7" s="108"/>
    </row>
    <row r="8" spans="1:9" x14ac:dyDescent="0.25">
      <c r="A8" s="106"/>
      <c r="B8" s="377"/>
      <c r="C8" s="42"/>
      <c r="D8" s="146" t="s">
        <v>305</v>
      </c>
      <c r="E8" s="146" t="s">
        <v>61</v>
      </c>
      <c r="F8" s="146" t="s">
        <v>94</v>
      </c>
      <c r="G8" s="42"/>
      <c r="H8" s="42"/>
      <c r="I8" s="108"/>
    </row>
    <row r="9" spans="1:9" x14ac:dyDescent="0.25">
      <c r="A9" s="106"/>
      <c r="B9" s="198" t="s">
        <v>268</v>
      </c>
      <c r="C9" s="53" t="s">
        <v>58</v>
      </c>
      <c r="D9" s="199">
        <f>'Aktuelle Wirtschaftsdaten'!$J$25/(1+$H$9)</f>
        <v>7.9848288252320589</v>
      </c>
      <c r="E9" s="199">
        <f>'Aktuelle Wirtschaftsdaten'!$J$30/(1+$H$9)</f>
        <v>11.977243237848089</v>
      </c>
      <c r="F9" s="42"/>
      <c r="G9" s="267" t="s">
        <v>267</v>
      </c>
      <c r="H9" s="270">
        <f>Personal!$G$33</f>
        <v>1.9000000000000128E-3</v>
      </c>
      <c r="I9" s="108"/>
    </row>
    <row r="10" spans="1:9" x14ac:dyDescent="0.25">
      <c r="A10" s="106"/>
      <c r="B10" s="196" t="s">
        <v>452</v>
      </c>
      <c r="C10" s="53" t="s">
        <v>96</v>
      </c>
      <c r="D10" s="331">
        <f>D$5/1000*D$9/(1+$H$10)</f>
        <v>272.81498486209534</v>
      </c>
      <c r="E10" s="331">
        <f>E$5/1000*E$9/(1+$H$10)</f>
        <v>0</v>
      </c>
      <c r="F10" s="333">
        <f>SUM(D10:E10)</f>
        <v>272.81498486209534</v>
      </c>
      <c r="G10" s="267" t="s">
        <v>456</v>
      </c>
      <c r="H10" s="202">
        <f>'Aktuelle Wirtschaftsdaten'!$J$11</f>
        <v>0.2</v>
      </c>
      <c r="I10" s="108"/>
    </row>
    <row r="11" spans="1:9" x14ac:dyDescent="0.25">
      <c r="A11" s="106"/>
      <c r="B11" s="289" t="s">
        <v>380</v>
      </c>
      <c r="C11" s="53" t="s">
        <v>96</v>
      </c>
      <c r="D11" s="290"/>
      <c r="E11" s="291"/>
      <c r="F11" s="292">
        <f>Personal!$D$9</f>
        <v>332</v>
      </c>
      <c r="G11" s="268" t="str">
        <f>IF(F10&gt;F11,"Engpass","OK")</f>
        <v>OK</v>
      </c>
      <c r="H11" s="267"/>
      <c r="I11" s="108"/>
    </row>
    <row r="12" spans="1:9" x14ac:dyDescent="0.25">
      <c r="A12" s="106"/>
      <c r="B12" s="203" t="s">
        <v>363</v>
      </c>
      <c r="C12" s="53" t="s">
        <v>96</v>
      </c>
      <c r="D12" s="111">
        <f>D17/$H$12</f>
        <v>332</v>
      </c>
      <c r="E12" s="111">
        <f>E17/$H$12</f>
        <v>0</v>
      </c>
      <c r="F12" s="226">
        <f>SUM(D12:E12)</f>
        <v>332</v>
      </c>
      <c r="G12" s="267" t="s">
        <v>95</v>
      </c>
      <c r="H12" s="332">
        <f>F17/F11</f>
        <v>0.98607825853769393</v>
      </c>
      <c r="I12" s="108"/>
    </row>
    <row r="13" spans="1:9" ht="3.1" customHeight="1" x14ac:dyDescent="0.25">
      <c r="A13" s="106"/>
      <c r="B13" s="42"/>
      <c r="C13" s="42"/>
      <c r="D13" s="42"/>
      <c r="E13" s="42"/>
      <c r="F13" s="42"/>
      <c r="G13" s="42">
        <v>1</v>
      </c>
      <c r="H13" s="42"/>
      <c r="I13" s="108"/>
    </row>
    <row r="14" spans="1:9" ht="14.45" customHeight="1" x14ac:dyDescent="0.25">
      <c r="A14" s="106"/>
      <c r="B14" s="42" t="s">
        <v>451</v>
      </c>
      <c r="C14" s="42"/>
      <c r="D14" s="146" t="s">
        <v>305</v>
      </c>
      <c r="E14" s="146" t="s">
        <v>61</v>
      </c>
      <c r="F14" s="146" t="s">
        <v>94</v>
      </c>
      <c r="G14" s="42"/>
      <c r="H14" s="42"/>
      <c r="I14" s="108"/>
    </row>
    <row r="15" spans="1:9" x14ac:dyDescent="0.25">
      <c r="A15" s="106"/>
      <c r="B15" s="196" t="s">
        <v>452</v>
      </c>
      <c r="C15" s="53" t="s">
        <v>453</v>
      </c>
      <c r="D15" s="325">
        <f>D$5/1000*D$9</f>
        <v>327.3779818345144</v>
      </c>
      <c r="E15" s="325">
        <f>E$5/1000*E$9</f>
        <v>0</v>
      </c>
      <c r="F15" s="326">
        <f>SUM(D15:E15)</f>
        <v>327.3779818345144</v>
      </c>
      <c r="G15" s="42"/>
      <c r="H15" s="42"/>
      <c r="I15" s="108"/>
    </row>
    <row r="16" spans="1:9" x14ac:dyDescent="0.25">
      <c r="A16" s="106"/>
      <c r="B16" s="289" t="s">
        <v>454</v>
      </c>
      <c r="C16" s="53" t="s">
        <v>453</v>
      </c>
      <c r="D16" s="290"/>
      <c r="E16" s="291"/>
      <c r="F16" s="327">
        <f>F11*(1+$H$10)</f>
        <v>398.4</v>
      </c>
      <c r="G16" s="42"/>
      <c r="H16" s="42"/>
      <c r="I16" s="108"/>
    </row>
    <row r="17" spans="1:9" x14ac:dyDescent="0.25">
      <c r="A17" s="106"/>
      <c r="B17" s="328" t="s">
        <v>455</v>
      </c>
      <c r="C17" s="53" t="s">
        <v>453</v>
      </c>
      <c r="D17" s="329">
        <f>D$6/1000*D$9</f>
        <v>327.3779818345144</v>
      </c>
      <c r="E17" s="329">
        <f>E$6/1000*E$9</f>
        <v>0</v>
      </c>
      <c r="F17" s="330">
        <f>SUM(D17:E17)</f>
        <v>327.3779818345144</v>
      </c>
      <c r="G17" s="42"/>
      <c r="H17" s="42"/>
      <c r="I17" s="108"/>
    </row>
    <row r="18" spans="1:9" x14ac:dyDescent="0.25">
      <c r="A18" s="106"/>
      <c r="B18" s="376" t="s">
        <v>38</v>
      </c>
      <c r="C18" s="42"/>
      <c r="D18" s="42"/>
      <c r="E18" s="42"/>
      <c r="F18" s="42"/>
      <c r="G18" s="42"/>
      <c r="H18" s="42"/>
      <c r="I18" s="108"/>
    </row>
    <row r="19" spans="1:9" x14ac:dyDescent="0.25">
      <c r="A19" s="106"/>
      <c r="B19" s="377"/>
      <c r="C19" s="42"/>
      <c r="D19" s="146" t="s">
        <v>305</v>
      </c>
      <c r="E19" s="146" t="s">
        <v>61</v>
      </c>
      <c r="F19" s="146" t="s">
        <v>94</v>
      </c>
      <c r="G19" s="42"/>
      <c r="H19" s="42"/>
      <c r="I19" s="108"/>
    </row>
    <row r="20" spans="1:9" x14ac:dyDescent="0.25">
      <c r="A20" s="106"/>
      <c r="B20" s="198" t="s">
        <v>268</v>
      </c>
      <c r="C20" s="53" t="s">
        <v>60</v>
      </c>
      <c r="D20" s="269">
        <f>'Aktuelle Wirtschaftsdaten'!$J$26</f>
        <v>1000</v>
      </c>
      <c r="E20" s="269">
        <f>'Aktuelle Wirtschaftsdaten'!$J$31</f>
        <v>2000</v>
      </c>
      <c r="F20" s="42"/>
      <c r="G20" s="42"/>
      <c r="H20" s="42"/>
      <c r="I20" s="108"/>
    </row>
    <row r="21" spans="1:9" x14ac:dyDescent="0.25">
      <c r="A21" s="106"/>
      <c r="B21" s="196" t="s">
        <v>97</v>
      </c>
      <c r="C21" s="53" t="s">
        <v>98</v>
      </c>
      <c r="D21" s="200">
        <f>D$5/1000*D$20/(1+$H$21)</f>
        <v>41000</v>
      </c>
      <c r="E21" s="200">
        <f>E$5/1000*E$20/(1+$H$21)</f>
        <v>0</v>
      </c>
      <c r="F21" s="201">
        <f>SUM(D21:E21)</f>
        <v>41000</v>
      </c>
      <c r="G21" s="267" t="s">
        <v>456</v>
      </c>
      <c r="H21" s="202">
        <v>0</v>
      </c>
      <c r="I21" s="108"/>
    </row>
    <row r="22" spans="1:9" x14ac:dyDescent="0.25">
      <c r="A22" s="106"/>
      <c r="B22" s="289" t="s">
        <v>381</v>
      </c>
      <c r="C22" s="53"/>
      <c r="D22" s="290"/>
      <c r="E22" s="291"/>
      <c r="F22" s="292">
        <f>Anlagevermögen!$M$22</f>
        <v>44000</v>
      </c>
      <c r="G22" s="268" t="str">
        <f>IF(F21&gt;F22,"Engpass","OK")</f>
        <v>OK</v>
      </c>
      <c r="H22" s="42"/>
      <c r="I22" s="108"/>
    </row>
    <row r="23" spans="1:9" x14ac:dyDescent="0.25">
      <c r="A23" s="106"/>
      <c r="B23" s="203" t="s">
        <v>364</v>
      </c>
      <c r="C23" s="53" t="s">
        <v>98</v>
      </c>
      <c r="D23" s="113">
        <f>D6</f>
        <v>41000</v>
      </c>
      <c r="E23" s="113">
        <f>2*E6</f>
        <v>0</v>
      </c>
      <c r="F23" s="226">
        <f>SUM(D23:E23)</f>
        <v>41000</v>
      </c>
      <c r="G23" s="267" t="s">
        <v>95</v>
      </c>
      <c r="H23" s="332">
        <f>F23/F22</f>
        <v>0.93181818181818177</v>
      </c>
      <c r="I23" s="108"/>
    </row>
    <row r="24" spans="1:9" ht="14.45" customHeight="1" x14ac:dyDescent="0.25">
      <c r="A24" s="106"/>
      <c r="B24" s="376" t="s">
        <v>446</v>
      </c>
      <c r="C24" s="42"/>
      <c r="D24" s="42"/>
      <c r="E24" s="42"/>
      <c r="F24" s="42"/>
      <c r="G24" s="42"/>
      <c r="H24" s="42"/>
      <c r="I24" s="108"/>
    </row>
    <row r="25" spans="1:9" x14ac:dyDescent="0.25">
      <c r="A25" s="106"/>
      <c r="B25" s="377"/>
      <c r="C25" s="42"/>
      <c r="D25" s="146" t="s">
        <v>305</v>
      </c>
      <c r="E25" s="146" t="s">
        <v>61</v>
      </c>
      <c r="F25" s="146" t="s">
        <v>94</v>
      </c>
      <c r="G25" s="267" t="s">
        <v>447</v>
      </c>
      <c r="H25" s="323"/>
      <c r="I25" s="108"/>
    </row>
    <row r="26" spans="1:9" x14ac:dyDescent="0.25">
      <c r="A26" s="106"/>
      <c r="B26" s="286" t="s">
        <v>448</v>
      </c>
      <c r="C26" s="53" t="s">
        <v>55</v>
      </c>
      <c r="D26" s="287">
        <f>ROUNDDOWN((F11-E26/1000*$E$9)*1000/$D$9,0)</f>
        <v>41578</v>
      </c>
      <c r="E26" s="287">
        <f>ROUNDDOWN(E$21*(1+$G26)*1000/E$20,0)</f>
        <v>0</v>
      </c>
      <c r="F26" s="93">
        <f>D26+2*E26</f>
        <v>41578</v>
      </c>
      <c r="G26" s="29">
        <f>F11/F10/(1+$H$10)-1</f>
        <v>1.4118292682927081E-2</v>
      </c>
      <c r="H26" s="323"/>
      <c r="I26" s="108"/>
    </row>
    <row r="27" spans="1:9" x14ac:dyDescent="0.25">
      <c r="A27" s="106"/>
      <c r="B27" s="288" t="s">
        <v>449</v>
      </c>
      <c r="C27" s="53" t="s">
        <v>55</v>
      </c>
      <c r="D27" s="324">
        <f>ROUNDDOWN((F11*(1+$H$10)-E27/1000*$E$9)*1000/$D$9,0)</f>
        <v>49894</v>
      </c>
      <c r="E27" s="324">
        <f>ROUNDDOWN(E$21*(1+$G27)*1000/E$20,0)</f>
        <v>0</v>
      </c>
      <c r="F27" s="93">
        <f>D27+2*E27</f>
        <v>49894</v>
      </c>
      <c r="G27" s="29">
        <f>F11/F10-1</f>
        <v>0.21694195121951232</v>
      </c>
      <c r="H27" s="323"/>
      <c r="I27" s="108"/>
    </row>
    <row r="28" spans="1:9" x14ac:dyDescent="0.25">
      <c r="A28" s="106"/>
      <c r="B28" s="288" t="s">
        <v>450</v>
      </c>
      <c r="C28" s="53" t="s">
        <v>55</v>
      </c>
      <c r="D28" s="324">
        <f>F22-2*E28</f>
        <v>44000</v>
      </c>
      <c r="E28" s="324">
        <f>ROUNDDOWN(E$21*(1+$G28)*1000/E$20,0)</f>
        <v>0</v>
      </c>
      <c r="F28" s="93">
        <f>D28+2*E28</f>
        <v>44000</v>
      </c>
      <c r="G28" s="29">
        <f>F22/F21-1</f>
        <v>7.3170731707317138E-2</v>
      </c>
      <c r="H28" s="323"/>
      <c r="I28" s="108"/>
    </row>
    <row r="29" spans="1:9" ht="14.95" thickBot="1" x14ac:dyDescent="0.3">
      <c r="A29" s="116"/>
      <c r="B29" s="117"/>
      <c r="C29" s="117"/>
      <c r="D29" s="117"/>
      <c r="E29" s="117"/>
      <c r="F29" s="117"/>
      <c r="G29" s="117"/>
      <c r="H29" s="117"/>
      <c r="I29" s="293" t="str">
        <f>'Aktuelle Wirtschaftsdaten'!$P$47</f>
        <v>MK_GMS_Pro 2.10</v>
      </c>
    </row>
  </sheetData>
  <mergeCells count="3">
    <mergeCell ref="B7:B8"/>
    <mergeCell ref="B18:B19"/>
    <mergeCell ref="B24:B25"/>
  </mergeCells>
  <conditionalFormatting sqref="G11">
    <cfRule type="cellIs" dxfId="7" priority="1" operator="equal">
      <formula>"Engpass"</formula>
    </cfRule>
  </conditionalFormatting>
  <conditionalFormatting sqref="G22">
    <cfRule type="cellIs" dxfId="6" priority="3" operator="equal">
      <formula>"Engpass"</formula>
    </cfRule>
  </conditionalFormatting>
  <conditionalFormatting sqref="G26:G28">
    <cfRule type="cellIs" dxfId="5" priority="2" operator="lessThan">
      <formula>0</formula>
    </cfRule>
  </conditionalFormatting>
  <pageMargins left="0.7" right="0.7" top="0.78740157499999996" bottom="0.78740157499999996" header="0.3" footer="0.3"/>
  <pageSetup paperSize="9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4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10" style="76" customWidth="1"/>
    <col min="4" max="7" width="11.125" customWidth="1"/>
    <col min="8" max="8" width="5.5" customWidth="1"/>
    <col min="9" max="10" width="1.375" customWidth="1"/>
  </cols>
  <sheetData>
    <row r="1" spans="1:11" ht="7.15" customHeight="1" x14ac:dyDescent="0.25">
      <c r="A1" s="122"/>
      <c r="B1" s="123"/>
      <c r="C1" s="123"/>
      <c r="D1" s="123"/>
      <c r="E1" s="123"/>
      <c r="F1" s="123"/>
      <c r="G1" s="124"/>
      <c r="H1" s="123"/>
      <c r="I1" s="125"/>
    </row>
    <row r="2" spans="1:11" ht="23.45" customHeight="1" x14ac:dyDescent="0.4">
      <c r="A2" s="207"/>
      <c r="B2" s="127" t="s">
        <v>72</v>
      </c>
      <c r="C2" s="128"/>
      <c r="D2" s="128"/>
      <c r="E2" s="128"/>
      <c r="F2" s="208"/>
      <c r="G2" s="78">
        <f>'Aktuelle Wirtschaftsdaten'!$O$2</f>
        <v>-1</v>
      </c>
      <c r="H2" s="139"/>
      <c r="I2" s="209"/>
    </row>
    <row r="3" spans="1:11" ht="5.95" customHeight="1" x14ac:dyDescent="0.25">
      <c r="A3" s="126"/>
      <c r="B3" s="357" t="s">
        <v>125</v>
      </c>
      <c r="C3" s="130"/>
      <c r="D3" s="167"/>
      <c r="E3" s="167"/>
      <c r="F3" s="167"/>
      <c r="G3" s="138"/>
      <c r="H3" s="130"/>
      <c r="I3" s="132"/>
    </row>
    <row r="4" spans="1:11" x14ac:dyDescent="0.25">
      <c r="A4" s="126"/>
      <c r="B4" s="358"/>
      <c r="C4" s="171"/>
      <c r="D4" s="146" t="s">
        <v>73</v>
      </c>
      <c r="E4" s="146" t="s">
        <v>75</v>
      </c>
      <c r="F4" s="146" t="s">
        <v>76</v>
      </c>
      <c r="G4" s="146" t="s">
        <v>94</v>
      </c>
      <c r="H4" s="139"/>
      <c r="I4" s="132"/>
    </row>
    <row r="5" spans="1:11" x14ac:dyDescent="0.25">
      <c r="A5" s="134"/>
      <c r="B5" s="52" t="s">
        <v>112</v>
      </c>
      <c r="C5" s="210" t="s">
        <v>85</v>
      </c>
      <c r="D5" s="54">
        <v>335</v>
      </c>
      <c r="E5" s="54">
        <v>46</v>
      </c>
      <c r="F5" s="54">
        <v>94</v>
      </c>
      <c r="G5" s="149">
        <f>SUM(D5:F5)</f>
        <v>475</v>
      </c>
      <c r="H5" s="168"/>
      <c r="I5" s="132"/>
    </row>
    <row r="6" spans="1:11" x14ac:dyDescent="0.25">
      <c r="A6" s="134"/>
      <c r="B6" s="52" t="s">
        <v>320</v>
      </c>
      <c r="C6" s="210" t="s">
        <v>85</v>
      </c>
      <c r="D6" s="149">
        <f>-ROUND(D5*$H$6,0)</f>
        <v>-65</v>
      </c>
      <c r="E6" s="149">
        <f>-ROUND(E5*$H$6,0)</f>
        <v>-9</v>
      </c>
      <c r="F6" s="149">
        <f>-ROUND(F5*$H$6,0)</f>
        <v>-18</v>
      </c>
      <c r="G6" s="211">
        <f>SUM(D6:F6)</f>
        <v>-92</v>
      </c>
      <c r="H6" s="180">
        <v>0.19389999999999999</v>
      </c>
      <c r="I6" s="129"/>
    </row>
    <row r="7" spans="1:11" x14ac:dyDescent="0.25">
      <c r="A7" s="134"/>
      <c r="B7" s="52" t="s">
        <v>126</v>
      </c>
      <c r="C7" s="210" t="s">
        <v>85</v>
      </c>
      <c r="D7" s="99">
        <f>MAX(D$9-SUM(D$5:D$6),0)</f>
        <v>62</v>
      </c>
      <c r="E7" s="99">
        <f>MAX(E$9-SUM(E$5:E$6),0)</f>
        <v>8</v>
      </c>
      <c r="F7" s="99">
        <f>MAX(F$9-SUM(F$5:F$6),0)</f>
        <v>20</v>
      </c>
      <c r="G7" s="211">
        <f>SUM(D7:F7)</f>
        <v>90</v>
      </c>
      <c r="H7" s="279">
        <v>250</v>
      </c>
      <c r="I7" s="129"/>
    </row>
    <row r="8" spans="1:11" x14ac:dyDescent="0.25">
      <c r="A8" s="134"/>
      <c r="B8" s="52" t="s">
        <v>127</v>
      </c>
      <c r="C8" s="210" t="s">
        <v>85</v>
      </c>
      <c r="D8" s="99">
        <f>MIN(D$9-SUM(D$5:D$6),0)</f>
        <v>0</v>
      </c>
      <c r="E8" s="99">
        <f>MIN(E$9-SUM(E$5:E$6),0)</f>
        <v>0</v>
      </c>
      <c r="F8" s="99">
        <f>MIN(F$9-SUM(F$5:F$6),0)</f>
        <v>0</v>
      </c>
      <c r="G8" s="211">
        <f>SUM(D8:F8)</f>
        <v>0</v>
      </c>
      <c r="H8" s="175">
        <f>'Aktuelle Wirtschaftsdaten'!$J$17</f>
        <v>100</v>
      </c>
      <c r="I8" s="129"/>
    </row>
    <row r="9" spans="1:11" x14ac:dyDescent="0.25">
      <c r="A9" s="134"/>
      <c r="B9" s="52" t="s">
        <v>115</v>
      </c>
      <c r="C9" s="210" t="s">
        <v>85</v>
      </c>
      <c r="D9" s="54">
        <v>332</v>
      </c>
      <c r="E9" s="54">
        <v>45</v>
      </c>
      <c r="F9" s="149">
        <f>ROUND(ErlösRechnung!$C$5*$H$9,0)</f>
        <v>96</v>
      </c>
      <c r="G9" s="211">
        <f>SUM(D9:F9)</f>
        <v>473</v>
      </c>
      <c r="H9" s="212">
        <v>1.5E-3</v>
      </c>
      <c r="I9" s="129"/>
    </row>
    <row r="10" spans="1:11" x14ac:dyDescent="0.25">
      <c r="A10" s="134"/>
      <c r="B10" s="196" t="s">
        <v>263</v>
      </c>
      <c r="C10" s="53" t="s">
        <v>85</v>
      </c>
      <c r="D10" s="213">
        <v>332</v>
      </c>
      <c r="E10" s="214"/>
      <c r="F10" s="215"/>
      <c r="G10" s="170"/>
      <c r="H10" s="23" t="str">
        <f>IF(D9&lt;&gt;D10,"Engpass","OK")</f>
        <v>OK</v>
      </c>
      <c r="I10" s="129"/>
    </row>
    <row r="11" spans="1:11" x14ac:dyDescent="0.25">
      <c r="A11" s="126"/>
      <c r="B11" s="358" t="s">
        <v>128</v>
      </c>
      <c r="C11" s="131"/>
      <c r="D11" s="216"/>
      <c r="E11" s="217"/>
      <c r="F11" s="217"/>
      <c r="G11" s="130"/>
      <c r="H11" s="131"/>
      <c r="I11" s="132"/>
    </row>
    <row r="12" spans="1:11" x14ac:dyDescent="0.25">
      <c r="A12" s="126"/>
      <c r="B12" s="358"/>
      <c r="C12" s="218" t="s">
        <v>297</v>
      </c>
      <c r="D12" s="146" t="s">
        <v>73</v>
      </c>
      <c r="E12" s="146" t="s">
        <v>75</v>
      </c>
      <c r="F12" s="146" t="s">
        <v>76</v>
      </c>
      <c r="G12" s="139"/>
      <c r="H12" s="130"/>
      <c r="I12" s="132"/>
    </row>
    <row r="13" spans="1:11" x14ac:dyDescent="0.25">
      <c r="A13" s="134"/>
      <c r="B13" s="52" t="s">
        <v>357</v>
      </c>
      <c r="C13" s="53" t="s">
        <v>83</v>
      </c>
      <c r="D13" s="219">
        <f>'Aktuelle Wirtschaftsdaten'!$J$6</f>
        <v>39000</v>
      </c>
      <c r="E13" s="219">
        <f>'Aktuelle Wirtschaftsdaten'!$J$7</f>
        <v>50000</v>
      </c>
      <c r="F13" s="219">
        <f>'Aktuelle Wirtschaftsdaten'!$J$8</f>
        <v>36000</v>
      </c>
      <c r="G13" s="139"/>
      <c r="H13" s="167"/>
      <c r="I13" s="132"/>
    </row>
    <row r="14" spans="1:11" x14ac:dyDescent="0.25">
      <c r="A14" s="134"/>
      <c r="B14" s="52" t="s">
        <v>129</v>
      </c>
      <c r="C14" s="53" t="s">
        <v>83</v>
      </c>
      <c r="D14" s="220">
        <f>ROUND($H14*D$13,2)</f>
        <v>195</v>
      </c>
      <c r="E14" s="220">
        <f>ROUND($H14*E$13,2)</f>
        <v>250</v>
      </c>
      <c r="F14" s="220">
        <f>ROUND($H14*F$13,2)</f>
        <v>180</v>
      </c>
      <c r="G14" s="137"/>
      <c r="H14" s="180">
        <v>5.0000000000000001E-3</v>
      </c>
      <c r="I14" s="129"/>
    </row>
    <row r="15" spans="1:11" x14ac:dyDescent="0.25">
      <c r="A15" s="134"/>
      <c r="B15" s="221" t="s">
        <v>358</v>
      </c>
      <c r="C15" s="53" t="s">
        <v>83</v>
      </c>
      <c r="D15" s="113">
        <f>SUM(D13:D14)</f>
        <v>39195</v>
      </c>
      <c r="E15" s="113">
        <f>SUM(E13:E14)</f>
        <v>50250</v>
      </c>
      <c r="F15" s="113">
        <f>SUM(F13:F14)</f>
        <v>36180</v>
      </c>
      <c r="G15" s="168"/>
      <c r="H15" s="168"/>
      <c r="I15" s="132"/>
    </row>
    <row r="16" spans="1:11" x14ac:dyDescent="0.25">
      <c r="A16" s="134"/>
      <c r="B16" s="52" t="s">
        <v>359</v>
      </c>
      <c r="C16" s="53" t="s">
        <v>83</v>
      </c>
      <c r="D16" s="220">
        <f>ROUND($G$16*(1+$H16)*D$15,2)</f>
        <v>0</v>
      </c>
      <c r="E16" s="222"/>
      <c r="F16" s="220">
        <f>ROUND($G16*(1+$H16)*0.2*F$15,2)</f>
        <v>0</v>
      </c>
      <c r="G16" s="223">
        <f>MAX(Fertigung!$H$12-1,0)</f>
        <v>0</v>
      </c>
      <c r="H16" s="224">
        <f>IF($G$16&gt;0.1,'Aktuelle Wirtschaftsdaten'!$J$14,'Aktuelle Wirtschaftsdaten'!$J$13)</f>
        <v>0.22500000000000001</v>
      </c>
      <c r="I16" s="129"/>
      <c r="J16" s="205"/>
      <c r="K16" s="205"/>
    </row>
    <row r="17" spans="1:9" x14ac:dyDescent="0.25">
      <c r="A17" s="134"/>
      <c r="B17" s="52" t="s">
        <v>130</v>
      </c>
      <c r="C17" s="53" t="s">
        <v>83</v>
      </c>
      <c r="D17" s="220">
        <f>ROUND($H17*D$15,2)</f>
        <v>9798.75</v>
      </c>
      <c r="E17" s="220">
        <f>ROUND($H17*E$15,2)</f>
        <v>12562.5</v>
      </c>
      <c r="F17" s="220">
        <f>ROUND($H17*F$15,2)</f>
        <v>9045</v>
      </c>
      <c r="G17" s="225"/>
      <c r="H17" s="224">
        <f>'Aktuelle Wirtschaftsdaten'!$J$10</f>
        <v>0.25</v>
      </c>
      <c r="I17" s="129"/>
    </row>
    <row r="18" spans="1:9" x14ac:dyDescent="0.25">
      <c r="A18" s="134"/>
      <c r="B18" s="221" t="s">
        <v>94</v>
      </c>
      <c r="C18" s="53" t="s">
        <v>83</v>
      </c>
      <c r="D18" s="113">
        <f>SUM(D15:D17)</f>
        <v>48993.75</v>
      </c>
      <c r="E18" s="113">
        <f>SUM(E15:E17)</f>
        <v>62812.5</v>
      </c>
      <c r="F18" s="113">
        <f>SUM(F15:F17)</f>
        <v>45225</v>
      </c>
      <c r="G18" s="139"/>
      <c r="H18" s="131"/>
      <c r="I18" s="132"/>
    </row>
    <row r="19" spans="1:9" x14ac:dyDescent="0.25">
      <c r="A19" s="126"/>
      <c r="B19" s="358" t="s">
        <v>131</v>
      </c>
      <c r="C19" s="131"/>
      <c r="D19" s="216"/>
      <c r="E19" s="216"/>
      <c r="F19" s="216"/>
      <c r="G19" s="167"/>
      <c r="H19" s="130"/>
      <c r="I19" s="132"/>
    </row>
    <row r="20" spans="1:9" x14ac:dyDescent="0.25">
      <c r="A20" s="126"/>
      <c r="B20" s="358"/>
      <c r="C20" s="171"/>
      <c r="D20" s="146" t="s">
        <v>73</v>
      </c>
      <c r="E20" s="146" t="s">
        <v>75</v>
      </c>
      <c r="F20" s="146" t="s">
        <v>76</v>
      </c>
      <c r="G20" s="146" t="s">
        <v>94</v>
      </c>
      <c r="H20" s="139"/>
      <c r="I20" s="132"/>
    </row>
    <row r="21" spans="1:9" x14ac:dyDescent="0.25">
      <c r="A21" s="134"/>
      <c r="B21" s="52" t="s">
        <v>132</v>
      </c>
      <c r="C21" s="210" t="s">
        <v>34</v>
      </c>
      <c r="D21" s="149">
        <f>ROUND(D$9*D$17/1000,3)</f>
        <v>3253.1849999999999</v>
      </c>
      <c r="E21" s="149">
        <f>ROUND(E$9*E$17/1000,3)</f>
        <v>565.31299999999999</v>
      </c>
      <c r="F21" s="149">
        <f>ROUND(F$9*F$17/1000,3)</f>
        <v>868.32</v>
      </c>
      <c r="G21" s="226">
        <f>SUM(D21:F21)</f>
        <v>4686.8180000000002</v>
      </c>
      <c r="H21" s="139"/>
      <c r="I21" s="132"/>
    </row>
    <row r="22" spans="1:9" x14ac:dyDescent="0.25">
      <c r="A22" s="134"/>
      <c r="B22" s="52" t="s">
        <v>79</v>
      </c>
      <c r="C22" s="210" t="s">
        <v>34</v>
      </c>
      <c r="D22" s="149">
        <f>ROUND(D$9*SUM(D$15:D$16)/1000,3)</f>
        <v>13012.74</v>
      </c>
      <c r="E22" s="149">
        <f>ROUND(E$9*SUM(E$15:E$16)/1000,3)</f>
        <v>2261.25</v>
      </c>
      <c r="F22" s="149">
        <f>ROUND(F$9*SUM(F$15:F$16)/1000,3)</f>
        <v>3473.28</v>
      </c>
      <c r="G22" s="226">
        <f>SUM(D22:F22)</f>
        <v>18747.27</v>
      </c>
      <c r="H22" s="139"/>
      <c r="I22" s="132"/>
    </row>
    <row r="23" spans="1:9" x14ac:dyDescent="0.25">
      <c r="A23" s="134"/>
      <c r="B23" s="52" t="s">
        <v>133</v>
      </c>
      <c r="C23" s="210" t="s">
        <v>34</v>
      </c>
      <c r="D23" s="149">
        <f>G23-SUM(E23:F23)</f>
        <v>225.685</v>
      </c>
      <c r="E23" s="149">
        <f>ROUND(E$5/$G$5*$G23,3)</f>
        <v>30.989000000000001</v>
      </c>
      <c r="F23" s="149">
        <f>ROUND(F$5/$G$5*$G23,3)</f>
        <v>63.326000000000001</v>
      </c>
      <c r="G23" s="54">
        <v>320</v>
      </c>
      <c r="H23" s="168"/>
      <c r="I23" s="132"/>
    </row>
    <row r="24" spans="1:9" x14ac:dyDescent="0.25">
      <c r="A24" s="134"/>
      <c r="B24" s="63" t="s">
        <v>82</v>
      </c>
      <c r="C24" s="210" t="s">
        <v>34</v>
      </c>
      <c r="D24" s="99">
        <f>$H24*D7/1000</f>
        <v>310</v>
      </c>
      <c r="E24" s="99">
        <f>$H24*E7/1000</f>
        <v>40</v>
      </c>
      <c r="F24" s="99">
        <f>$H24*F7/1000</f>
        <v>100</v>
      </c>
      <c r="G24" s="226">
        <f>SUM(D24:F24)</f>
        <v>450</v>
      </c>
      <c r="H24" s="175">
        <f>'Aktuelle Wirtschaftsdaten'!$J$16</f>
        <v>5000</v>
      </c>
      <c r="I24" s="129"/>
    </row>
    <row r="25" spans="1:9" x14ac:dyDescent="0.25">
      <c r="A25" s="134"/>
      <c r="B25" s="63" t="s">
        <v>84</v>
      </c>
      <c r="C25" s="210" t="s">
        <v>34</v>
      </c>
      <c r="D25" s="99">
        <f>-$H25*D8/1000</f>
        <v>0</v>
      </c>
      <c r="E25" s="99">
        <f>-$H25*E8/1000</f>
        <v>0</v>
      </c>
      <c r="F25" s="99">
        <f>-$H25*F8/1000</f>
        <v>0</v>
      </c>
      <c r="G25" s="226">
        <f>SUM(D25:F25)</f>
        <v>0</v>
      </c>
      <c r="H25" s="175">
        <f>'Aktuelle Wirtschaftsdaten'!$J$18</f>
        <v>0</v>
      </c>
      <c r="I25" s="129"/>
    </row>
    <row r="26" spans="1:9" x14ac:dyDescent="0.25">
      <c r="A26" s="134"/>
      <c r="B26" s="203" t="s">
        <v>94</v>
      </c>
      <c r="C26" s="210" t="s">
        <v>34</v>
      </c>
      <c r="D26" s="226">
        <f>SUM(D21:D25)</f>
        <v>16801.61</v>
      </c>
      <c r="E26" s="226">
        <f>SUM(E21:E25)</f>
        <v>2897.5520000000001</v>
      </c>
      <c r="F26" s="226">
        <f>SUM(F21:F25)</f>
        <v>4504.9260000000004</v>
      </c>
      <c r="G26" s="227">
        <f>SUM(D26:F26)</f>
        <v>24204.088</v>
      </c>
      <c r="H26" s="177"/>
      <c r="I26" s="132"/>
    </row>
    <row r="27" spans="1:9" ht="14.45" customHeight="1" x14ac:dyDescent="0.25">
      <c r="A27" s="126"/>
      <c r="B27" s="378" t="s">
        <v>355</v>
      </c>
      <c r="C27" s="376"/>
      <c r="D27" s="138"/>
      <c r="E27" s="138"/>
      <c r="F27" s="138"/>
      <c r="G27" s="131"/>
      <c r="H27" s="130"/>
      <c r="I27" s="132"/>
    </row>
    <row r="28" spans="1:9" ht="14.45" customHeight="1" x14ac:dyDescent="0.25">
      <c r="A28" s="126"/>
      <c r="B28" s="379"/>
      <c r="C28" s="380"/>
      <c r="D28" s="146" t="s">
        <v>73</v>
      </c>
      <c r="E28" s="138"/>
      <c r="F28" s="138"/>
      <c r="G28" s="154" t="s">
        <v>256</v>
      </c>
      <c r="H28" s="130"/>
      <c r="I28" s="132"/>
    </row>
    <row r="29" spans="1:9" x14ac:dyDescent="0.25">
      <c r="A29" s="134"/>
      <c r="B29" s="52" t="s">
        <v>31</v>
      </c>
      <c r="C29" s="210" t="s">
        <v>356</v>
      </c>
      <c r="D29" s="149">
        <f>D5+D6+D8</f>
        <v>270</v>
      </c>
      <c r="E29" s="271"/>
      <c r="F29" s="273">
        <v>1.0161</v>
      </c>
      <c r="G29" s="272">
        <f>F29-1</f>
        <v>1.6100000000000003E-2</v>
      </c>
      <c r="H29" s="204"/>
      <c r="I29" s="132"/>
    </row>
    <row r="30" spans="1:9" x14ac:dyDescent="0.25">
      <c r="A30" s="134"/>
      <c r="B30" s="52" t="s">
        <v>352</v>
      </c>
      <c r="C30" s="210" t="s">
        <v>356</v>
      </c>
      <c r="D30" s="266">
        <f>D29</f>
        <v>270</v>
      </c>
      <c r="E30" s="271"/>
      <c r="F30" s="273">
        <v>0.99680000000000002</v>
      </c>
      <c r="G30" s="272">
        <f>F30-1</f>
        <v>-3.1999999999999806E-3</v>
      </c>
      <c r="H30" s="204"/>
      <c r="I30" s="132"/>
    </row>
    <row r="31" spans="1:9" x14ac:dyDescent="0.25">
      <c r="A31" s="134"/>
      <c r="B31" s="52" t="s">
        <v>353</v>
      </c>
      <c r="C31" s="210" t="s">
        <v>356</v>
      </c>
      <c r="D31" s="266">
        <f>D30</f>
        <v>270</v>
      </c>
      <c r="E31" s="271"/>
      <c r="F31" s="273">
        <v>1.0009999999999999</v>
      </c>
      <c r="G31" s="272">
        <f t="shared" ref="G31:G33" si="0">F31-1</f>
        <v>9.9999999999988987E-4</v>
      </c>
      <c r="H31" s="204"/>
      <c r="I31" s="132"/>
    </row>
    <row r="32" spans="1:9" x14ac:dyDescent="0.25">
      <c r="A32" s="134"/>
      <c r="B32" s="52" t="s">
        <v>126</v>
      </c>
      <c r="C32" s="210" t="s">
        <v>356</v>
      </c>
      <c r="D32" s="149">
        <f>D7</f>
        <v>62</v>
      </c>
      <c r="E32" s="271"/>
      <c r="F32" s="273">
        <v>0.95</v>
      </c>
      <c r="G32" s="272">
        <f t="shared" si="0"/>
        <v>-5.0000000000000044E-2</v>
      </c>
      <c r="H32" s="204"/>
      <c r="I32" s="132"/>
    </row>
    <row r="33" spans="1:9" x14ac:dyDescent="0.25">
      <c r="A33" s="134"/>
      <c r="B33" s="52" t="s">
        <v>256</v>
      </c>
      <c r="C33" s="210" t="s">
        <v>356</v>
      </c>
      <c r="D33" s="149">
        <f>D9</f>
        <v>332</v>
      </c>
      <c r="E33" s="271"/>
      <c r="F33" s="273">
        <f>ROUND((D29*F29*F30*F31+D32*F32)/D33,4)</f>
        <v>1.0019</v>
      </c>
      <c r="G33" s="265">
        <f t="shared" si="0"/>
        <v>1.9000000000000128E-3</v>
      </c>
      <c r="H33" s="204"/>
      <c r="I33" s="132"/>
    </row>
    <row r="34" spans="1:9" ht="14.95" thickBot="1" x14ac:dyDescent="0.3">
      <c r="A34" s="143"/>
      <c r="B34" s="144"/>
      <c r="C34" s="228"/>
      <c r="D34" s="144"/>
      <c r="E34" s="144"/>
      <c r="F34" s="144"/>
      <c r="G34" s="145"/>
      <c r="H34" s="145"/>
      <c r="I34" s="293" t="str">
        <f>'Aktuelle Wirtschaftsdaten'!$P$47</f>
        <v>MK_GMS_Pro 2.10</v>
      </c>
    </row>
  </sheetData>
  <mergeCells count="4">
    <mergeCell ref="B3:B4"/>
    <mergeCell ref="B11:B12"/>
    <mergeCell ref="B19:B20"/>
    <mergeCell ref="B27:C28"/>
  </mergeCells>
  <conditionalFormatting sqref="H10">
    <cfRule type="cellIs" dxfId="4" priority="1" operator="equal">
      <formula>"Engpass"</formula>
    </cfRule>
  </conditionalFormatting>
  <pageMargins left="0.7" right="0.7" top="0.78740157499999996" bottom="0.78740157499999996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86FB-C4D6-4925-8EB8-40FCF6FCBC5B}">
  <dimension ref="A1:AG27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22.25" customWidth="1"/>
    <col min="3" max="7" width="8.875" customWidth="1"/>
    <col min="8" max="8" width="1.375" customWidth="1"/>
    <col min="9" max="9" width="22.25" customWidth="1"/>
    <col min="10" max="10" width="11.125" customWidth="1"/>
    <col min="11" max="11" width="1.375" customWidth="1"/>
    <col min="12" max="12" width="22.25" customWidth="1"/>
    <col min="13" max="21" width="8.875" customWidth="1"/>
    <col min="22" max="22" width="1.375" customWidth="1"/>
    <col min="23" max="23" width="22.25" customWidth="1"/>
    <col min="24" max="24" width="11.125" customWidth="1"/>
    <col min="25" max="25" width="1.375" customWidth="1"/>
    <col min="26" max="26" width="12.25" customWidth="1"/>
    <col min="27" max="27" width="1.375" customWidth="1"/>
    <col min="28" max="28" width="17.625" customWidth="1"/>
    <col min="29" max="29" width="6.625" customWidth="1"/>
    <col min="30" max="30" width="1.375" customWidth="1"/>
    <col min="31" max="31" width="17.625" customWidth="1"/>
    <col min="32" max="32" width="6.625" customWidth="1"/>
    <col min="33" max="33" width="1.375" customWidth="1"/>
  </cols>
  <sheetData>
    <row r="1" spans="1:33" ht="7.15" customHeight="1" x14ac:dyDescent="0.2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4"/>
      <c r="Y1" s="125"/>
      <c r="AA1" s="122"/>
      <c r="AB1" s="123"/>
      <c r="AC1" s="123"/>
      <c r="AD1" s="123"/>
      <c r="AE1" s="123"/>
      <c r="AF1" s="123"/>
      <c r="AG1" s="125"/>
    </row>
    <row r="2" spans="1:33" s="232" customFormat="1" ht="23.45" customHeight="1" x14ac:dyDescent="0.4">
      <c r="A2" s="229"/>
      <c r="B2" s="127" t="s">
        <v>384</v>
      </c>
      <c r="C2" s="127"/>
      <c r="D2" s="127"/>
      <c r="E2" s="127"/>
      <c r="F2" s="127"/>
      <c r="G2" s="127"/>
      <c r="H2" s="127"/>
      <c r="I2" s="127"/>
      <c r="J2" s="230"/>
      <c r="K2" s="127"/>
      <c r="L2" s="127"/>
      <c r="M2" s="230"/>
      <c r="N2" s="230"/>
      <c r="O2" s="230"/>
      <c r="P2" s="230"/>
      <c r="Q2" s="230"/>
      <c r="R2" s="230"/>
      <c r="S2" s="230"/>
      <c r="T2" s="230"/>
      <c r="U2" s="230"/>
      <c r="V2" s="127"/>
      <c r="W2" s="127"/>
      <c r="X2" s="78">
        <f>'Aktuelle Wirtschaftsdaten'!$O$2</f>
        <v>-1</v>
      </c>
      <c r="Y2" s="231"/>
      <c r="AA2" s="229"/>
      <c r="AB2" s="351" t="s">
        <v>484</v>
      </c>
      <c r="AC2" s="127"/>
      <c r="AD2" s="127"/>
      <c r="AE2" s="351"/>
      <c r="AF2" s="127"/>
      <c r="AG2" s="231"/>
    </row>
    <row r="3" spans="1:33" ht="5.95" customHeight="1" x14ac:dyDescent="0.25">
      <c r="A3" s="126"/>
      <c r="B3" s="130"/>
      <c r="C3" s="167"/>
      <c r="D3" s="167"/>
      <c r="E3" s="167"/>
      <c r="F3" s="167"/>
      <c r="G3" s="167"/>
      <c r="H3" s="130"/>
      <c r="I3" s="130"/>
      <c r="J3" s="167"/>
      <c r="K3" s="130"/>
      <c r="L3" s="130"/>
      <c r="M3" s="167"/>
      <c r="N3" s="167"/>
      <c r="O3" s="167"/>
      <c r="P3" s="167"/>
      <c r="Q3" s="167"/>
      <c r="R3" s="167"/>
      <c r="S3" s="167"/>
      <c r="T3" s="167"/>
      <c r="U3" s="167"/>
      <c r="V3" s="130"/>
      <c r="W3" s="130"/>
      <c r="X3" s="138"/>
      <c r="Y3" s="132"/>
      <c r="AA3" s="126"/>
      <c r="AB3" s="130"/>
      <c r="AC3" s="167"/>
      <c r="AD3" s="130"/>
      <c r="AE3" s="130"/>
      <c r="AF3" s="167"/>
      <c r="AG3" s="132"/>
    </row>
    <row r="4" spans="1:33" ht="14.45" customHeight="1" x14ac:dyDescent="0.25">
      <c r="A4" s="126"/>
      <c r="B4" s="384" t="s">
        <v>33</v>
      </c>
      <c r="C4" s="295" t="s">
        <v>94</v>
      </c>
      <c r="D4" s="359" t="s">
        <v>305</v>
      </c>
      <c r="E4" s="359"/>
      <c r="F4" s="359" t="s">
        <v>61</v>
      </c>
      <c r="G4" s="359"/>
      <c r="H4" s="130"/>
      <c r="I4" s="384" t="s">
        <v>260</v>
      </c>
      <c r="J4" s="167"/>
      <c r="K4" s="130"/>
      <c r="L4" s="384" t="s">
        <v>262</v>
      </c>
      <c r="M4" s="19" t="s">
        <v>94</v>
      </c>
      <c r="N4" s="19" t="s">
        <v>283</v>
      </c>
      <c r="O4" s="19" t="s">
        <v>284</v>
      </c>
      <c r="P4" s="19" t="s">
        <v>285</v>
      </c>
      <c r="Q4" s="19" t="s">
        <v>286</v>
      </c>
      <c r="R4" s="19" t="s">
        <v>287</v>
      </c>
      <c r="S4" s="19" t="s">
        <v>288</v>
      </c>
      <c r="T4" s="19" t="s">
        <v>289</v>
      </c>
      <c r="U4" s="19" t="s">
        <v>290</v>
      </c>
      <c r="V4" s="130"/>
      <c r="W4" s="384" t="s">
        <v>259</v>
      </c>
      <c r="X4" s="167"/>
      <c r="Y4" s="129"/>
      <c r="AA4" s="126"/>
      <c r="AB4" s="382" t="s">
        <v>33</v>
      </c>
      <c r="AC4" s="349" t="s">
        <v>94</v>
      </c>
      <c r="AD4" s="130"/>
      <c r="AE4" s="352" t="s">
        <v>482</v>
      </c>
      <c r="AF4" s="348" t="s">
        <v>94</v>
      </c>
      <c r="AG4" s="129"/>
    </row>
    <row r="5" spans="1:33" ht="14.45" customHeight="1" x14ac:dyDescent="0.25">
      <c r="A5" s="126"/>
      <c r="B5" s="385"/>
      <c r="C5" s="138"/>
      <c r="D5" s="22" t="s">
        <v>135</v>
      </c>
      <c r="E5" s="22" t="s">
        <v>136</v>
      </c>
      <c r="F5" s="22" t="s">
        <v>135</v>
      </c>
      <c r="G5" s="22" t="s">
        <v>136</v>
      </c>
      <c r="H5" s="130"/>
      <c r="I5" s="386"/>
      <c r="J5" s="167"/>
      <c r="K5" s="130"/>
      <c r="L5" s="386"/>
      <c r="M5" s="167"/>
      <c r="N5" s="167"/>
      <c r="O5" s="167"/>
      <c r="P5" s="167"/>
      <c r="Q5" s="167"/>
      <c r="R5" s="167"/>
      <c r="S5" s="167"/>
      <c r="T5" s="167"/>
      <c r="U5" s="167"/>
      <c r="V5" s="130"/>
      <c r="W5" s="386"/>
      <c r="X5" s="167"/>
      <c r="Y5" s="129"/>
      <c r="AA5" s="126"/>
      <c r="AB5" s="383"/>
      <c r="AC5" s="350"/>
      <c r="AD5" s="130"/>
      <c r="AE5" s="352" t="s">
        <v>483</v>
      </c>
      <c r="AF5" s="350"/>
      <c r="AG5" s="129"/>
    </row>
    <row r="6" spans="1:33" x14ac:dyDescent="0.25">
      <c r="A6" s="126"/>
      <c r="B6" s="171"/>
      <c r="C6" s="12" t="s">
        <v>34</v>
      </c>
      <c r="D6" s="12" t="s">
        <v>34</v>
      </c>
      <c r="E6" s="12" t="s">
        <v>34</v>
      </c>
      <c r="F6" s="12" t="s">
        <v>34</v>
      </c>
      <c r="G6" s="12" t="s">
        <v>34</v>
      </c>
      <c r="H6" s="139"/>
      <c r="I6" s="171"/>
      <c r="J6" s="12" t="s">
        <v>34</v>
      </c>
      <c r="K6" s="139"/>
      <c r="L6" s="171"/>
      <c r="M6" s="12" t="s">
        <v>34</v>
      </c>
      <c r="N6" s="12" t="s">
        <v>34</v>
      </c>
      <c r="O6" s="12" t="s">
        <v>34</v>
      </c>
      <c r="P6" s="12" t="s">
        <v>34</v>
      </c>
      <c r="Q6" s="12" t="s">
        <v>34</v>
      </c>
      <c r="R6" s="282" t="s">
        <v>34</v>
      </c>
      <c r="S6" s="282" t="s">
        <v>34</v>
      </c>
      <c r="T6" s="282" t="s">
        <v>34</v>
      </c>
      <c r="U6" s="282" t="s">
        <v>34</v>
      </c>
      <c r="V6" s="139"/>
      <c r="W6" s="171"/>
      <c r="X6" s="12" t="s">
        <v>34</v>
      </c>
      <c r="Y6" s="129"/>
      <c r="AA6" s="126"/>
      <c r="AB6" s="171"/>
      <c r="AC6" s="354" t="s">
        <v>34</v>
      </c>
      <c r="AD6" s="139"/>
      <c r="AE6" s="171"/>
      <c r="AF6" s="354" t="s">
        <v>34</v>
      </c>
      <c r="AG6" s="129"/>
    </row>
    <row r="7" spans="1:33" ht="14.45" customHeight="1" x14ac:dyDescent="0.25">
      <c r="A7" s="134"/>
      <c r="B7" s="233" t="s">
        <v>112</v>
      </c>
      <c r="C7" s="149">
        <f>SUM(D7:G7)</f>
        <v>1528.8</v>
      </c>
      <c r="D7" s="149" cm="1">
        <f t="array" ref="D7">SUM(D16:D20*D$13/$B$14*($B$14-$X$2+$B16:$B20))</f>
        <v>949.2</v>
      </c>
      <c r="E7" s="149" cm="1">
        <f t="array" ref="E7">SUM(E16:E20*E$13/$B$14*($B$14-$X$2+$B16:$B20))</f>
        <v>579.59999999999991</v>
      </c>
      <c r="F7" s="149" cm="1">
        <f t="array" ref="F7">SUM(F16:F20*F$13/$B$14*($B$14-$X$2+$B16:$B20))</f>
        <v>0</v>
      </c>
      <c r="G7" s="149" cm="1">
        <f t="array" ref="G7">SUM(G16:G20*G$13/$B$14*($B$14-$X$2+$B16:$B20))</f>
        <v>0</v>
      </c>
      <c r="H7" s="137"/>
      <c r="I7" s="233" t="s">
        <v>112</v>
      </c>
      <c r="J7" s="160">
        <f>Bilanz!$E$6</f>
        <v>31740</v>
      </c>
      <c r="K7" s="137"/>
      <c r="L7" s="233" t="s">
        <v>112</v>
      </c>
      <c r="M7" s="149">
        <f>SUM(N7:U7)</f>
        <v>36800</v>
      </c>
      <c r="N7" s="54">
        <v>4200</v>
      </c>
      <c r="O7" s="54">
        <v>5600</v>
      </c>
      <c r="P7" s="54">
        <v>12600</v>
      </c>
      <c r="Q7" s="54">
        <v>14400</v>
      </c>
      <c r="R7" s="54">
        <v>0</v>
      </c>
      <c r="S7" s="54">
        <v>0</v>
      </c>
      <c r="T7" s="54">
        <v>0</v>
      </c>
      <c r="U7" s="54">
        <v>0</v>
      </c>
      <c r="V7" s="137"/>
      <c r="W7" s="233" t="s">
        <v>112</v>
      </c>
      <c r="X7" s="160">
        <f>Bilanz!$E$8</f>
        <v>3958</v>
      </c>
      <c r="Y7" s="129"/>
      <c r="AA7" s="134"/>
      <c r="AB7" s="346" t="s">
        <v>112</v>
      </c>
      <c r="AC7" s="55" cm="1">
        <f t="array" ref="AC7">SUM(AC16:AC20/$AB$14*($AB$14-$X$2+$AB16:$AB20))</f>
        <v>655.19999999999993</v>
      </c>
      <c r="AD7" s="137"/>
      <c r="AE7" s="346" t="s">
        <v>112</v>
      </c>
      <c r="AF7" s="55" cm="1">
        <f t="array" ref="AF7">SUM(AF16:AF20/$AE$14*($AE$14-$X$2+$AE16:$AE20))</f>
        <v>714</v>
      </c>
      <c r="AG7" s="129"/>
    </row>
    <row r="8" spans="1:33" ht="14.45" customHeight="1" x14ac:dyDescent="0.25">
      <c r="A8" s="134"/>
      <c r="B8" s="233" t="s">
        <v>282</v>
      </c>
      <c r="C8" s="149">
        <f t="shared" ref="C8:C11" si="0">SUM(D8:G8)</f>
        <v>850</v>
      </c>
      <c r="D8" s="149">
        <f>D15</f>
        <v>550</v>
      </c>
      <c r="E8" s="149">
        <f t="shared" ref="E8:G8" si="1">E15</f>
        <v>300</v>
      </c>
      <c r="F8" s="149">
        <f t="shared" si="1"/>
        <v>0</v>
      </c>
      <c r="G8" s="149">
        <f t="shared" si="1"/>
        <v>0</v>
      </c>
      <c r="H8" s="137"/>
      <c r="I8" s="233" t="s">
        <v>282</v>
      </c>
      <c r="J8" s="54">
        <v>0</v>
      </c>
      <c r="K8" s="137"/>
      <c r="L8" s="233" t="s">
        <v>282</v>
      </c>
      <c r="M8" s="149">
        <f t="shared" ref="M8:M24" si="2">SUM(N8:U8)</f>
        <v>0</v>
      </c>
      <c r="N8" s="54">
        <v>0</v>
      </c>
      <c r="O8" s="54">
        <v>0</v>
      </c>
      <c r="P8" s="54">
        <v>0</v>
      </c>
      <c r="Q8" s="54">
        <v>0</v>
      </c>
      <c r="R8" s="54"/>
      <c r="S8" s="54"/>
      <c r="T8" s="54"/>
      <c r="U8" s="54"/>
      <c r="V8" s="137"/>
      <c r="W8" s="233" t="s">
        <v>282</v>
      </c>
      <c r="X8" s="149">
        <f>X15</f>
        <v>920</v>
      </c>
      <c r="Y8" s="129"/>
      <c r="AA8" s="134"/>
      <c r="AB8" s="346" t="s">
        <v>282</v>
      </c>
      <c r="AC8" s="55">
        <f>AC15</f>
        <v>255</v>
      </c>
      <c r="AD8" s="137"/>
      <c r="AE8" s="346" t="s">
        <v>282</v>
      </c>
      <c r="AF8" s="55">
        <f t="shared" ref="AF8" si="3">AF15</f>
        <v>320</v>
      </c>
      <c r="AG8" s="129"/>
    </row>
    <row r="9" spans="1:33" ht="14.45" customHeight="1" x14ac:dyDescent="0.25">
      <c r="A9" s="126"/>
      <c r="B9" s="233" t="s">
        <v>137</v>
      </c>
      <c r="C9" s="149">
        <f t="shared" si="0"/>
        <v>0</v>
      </c>
      <c r="D9" s="54">
        <v>0</v>
      </c>
      <c r="E9" s="54">
        <v>0</v>
      </c>
      <c r="F9" s="54">
        <v>0</v>
      </c>
      <c r="G9" s="54">
        <v>0</v>
      </c>
      <c r="H9" s="130"/>
      <c r="I9" s="233" t="s">
        <v>137</v>
      </c>
      <c r="J9" s="149">
        <v>0</v>
      </c>
      <c r="K9" s="130"/>
      <c r="L9" s="233" t="s">
        <v>137</v>
      </c>
      <c r="M9" s="149">
        <f t="shared" si="2"/>
        <v>0</v>
      </c>
      <c r="N9" s="54">
        <v>0</v>
      </c>
      <c r="O9" s="54">
        <v>0</v>
      </c>
      <c r="P9" s="54">
        <v>0</v>
      </c>
      <c r="Q9" s="54">
        <v>0</v>
      </c>
      <c r="R9" s="54"/>
      <c r="S9" s="54"/>
      <c r="T9" s="54"/>
      <c r="U9" s="54"/>
      <c r="V9" s="130"/>
      <c r="W9" s="233" t="s">
        <v>137</v>
      </c>
      <c r="X9" s="54">
        <v>0</v>
      </c>
      <c r="Y9" s="129"/>
      <c r="AA9" s="126"/>
      <c r="AB9" s="346" t="s">
        <v>137</v>
      </c>
      <c r="AC9" s="347">
        <v>0</v>
      </c>
      <c r="AD9" s="130"/>
      <c r="AE9" s="346" t="s">
        <v>137</v>
      </c>
      <c r="AF9" s="347">
        <v>0</v>
      </c>
      <c r="AG9" s="129"/>
    </row>
    <row r="10" spans="1:33" x14ac:dyDescent="0.25">
      <c r="A10" s="126"/>
      <c r="B10" s="233" t="s">
        <v>281</v>
      </c>
      <c r="C10" s="149">
        <f t="shared" si="0"/>
        <v>-1005.4</v>
      </c>
      <c r="D10" s="149">
        <f t="array" ref="D10">-D15*(1-D$13)-SUM(D15:D19*D$13/$B$14)</f>
        <v>-631.19999999999993</v>
      </c>
      <c r="E10" s="149">
        <f t="array" ref="E10">-E15*(1-E$13)-SUM(E15:E19*E$13/$B$14)</f>
        <v>-374.20000000000005</v>
      </c>
      <c r="F10" s="149">
        <f t="array" ref="F10">-F15*(1-F$13)-SUM(F15:F19*F$13/$B$14)</f>
        <v>0</v>
      </c>
      <c r="G10" s="149">
        <f t="array" ref="G10">-G15*(1-G$13)-SUM(G15:G19*G$13/$B$14)</f>
        <v>0</v>
      </c>
      <c r="H10" s="139"/>
      <c r="I10" s="233" t="s">
        <v>281</v>
      </c>
      <c r="J10" s="219">
        <f>-'Aktuelle Wirtschaftsdaten'!$J$39</f>
        <v>-1140</v>
      </c>
      <c r="K10" s="139"/>
      <c r="L10" s="233" t="s">
        <v>281</v>
      </c>
      <c r="M10" s="149">
        <f t="shared" si="2"/>
        <v>-6400</v>
      </c>
      <c r="N10" s="149">
        <f t="shared" ref="N10:U10" si="4">-IF(N18&lt;&gt;"",IF((N18-($X$2-N16))&gt;0,ROUND(N17/N18,3),0),0)</f>
        <v>-1400</v>
      </c>
      <c r="O10" s="149">
        <f t="shared" si="4"/>
        <v>-1400</v>
      </c>
      <c r="P10" s="149">
        <f t="shared" si="4"/>
        <v>-1800</v>
      </c>
      <c r="Q10" s="149">
        <f t="shared" si="4"/>
        <v>-1800</v>
      </c>
      <c r="R10" s="149">
        <f t="shared" si="4"/>
        <v>0</v>
      </c>
      <c r="S10" s="149">
        <f t="shared" si="4"/>
        <v>0</v>
      </c>
      <c r="T10" s="149">
        <f t="shared" si="4"/>
        <v>0</v>
      </c>
      <c r="U10" s="149">
        <f t="shared" si="4"/>
        <v>0</v>
      </c>
      <c r="V10" s="139"/>
      <c r="W10" s="233" t="s">
        <v>281</v>
      </c>
      <c r="X10" s="149">
        <f t="array" ref="X10">-X15*(1-X$13)-SUM(X15:X24*X$13/$W$14)</f>
        <v>-944</v>
      </c>
      <c r="Y10" s="129"/>
      <c r="AA10" s="126"/>
      <c r="AB10" s="346" t="s">
        <v>281</v>
      </c>
      <c r="AC10" s="55" cm="1">
        <f t="array" ref="AC10">-SUM(AC15:AC19/$AB$14)</f>
        <v>-321.60000000000002</v>
      </c>
      <c r="AD10" s="139"/>
      <c r="AE10" s="346" t="s">
        <v>281</v>
      </c>
      <c r="AF10" s="55" cm="1">
        <f t="array" ref="AF10">-SUM(AF15:AF19/$AE$14)</f>
        <v>-352</v>
      </c>
      <c r="AG10" s="129"/>
    </row>
    <row r="11" spans="1:33" x14ac:dyDescent="0.25">
      <c r="A11" s="126"/>
      <c r="B11" s="233" t="s">
        <v>138</v>
      </c>
      <c r="C11" s="149">
        <f t="shared" si="0"/>
        <v>1373.4</v>
      </c>
      <c r="D11" s="149">
        <f>SUM(D7:D10)</f>
        <v>868.00000000000011</v>
      </c>
      <c r="E11" s="149">
        <f t="shared" ref="E11:G11" si="5">SUM(E7:E10)</f>
        <v>505.39999999999986</v>
      </c>
      <c r="F11" s="149">
        <f t="shared" si="5"/>
        <v>0</v>
      </c>
      <c r="G11" s="149">
        <f t="shared" si="5"/>
        <v>0</v>
      </c>
      <c r="H11" s="139"/>
      <c r="I11" s="233" t="s">
        <v>138</v>
      </c>
      <c r="J11" s="99">
        <f>SUM(J7:J10)</f>
        <v>30600</v>
      </c>
      <c r="K11" s="139"/>
      <c r="L11" s="233" t="s">
        <v>138</v>
      </c>
      <c r="M11" s="149">
        <f t="shared" si="2"/>
        <v>30400</v>
      </c>
      <c r="N11" s="149">
        <f>SUM(N7:N10)</f>
        <v>2800</v>
      </c>
      <c r="O11" s="149">
        <f t="shared" ref="O11:U11" si="6">SUM(O7:O10)</f>
        <v>4200</v>
      </c>
      <c r="P11" s="149">
        <f t="shared" si="6"/>
        <v>10800</v>
      </c>
      <c r="Q11" s="149">
        <f t="shared" si="6"/>
        <v>12600</v>
      </c>
      <c r="R11" s="149">
        <f t="shared" si="6"/>
        <v>0</v>
      </c>
      <c r="S11" s="149">
        <f t="shared" si="6"/>
        <v>0</v>
      </c>
      <c r="T11" s="149">
        <f t="shared" si="6"/>
        <v>0</v>
      </c>
      <c r="U11" s="149">
        <f t="shared" si="6"/>
        <v>0</v>
      </c>
      <c r="V11" s="139"/>
      <c r="W11" s="233" t="s">
        <v>138</v>
      </c>
      <c r="X11" s="99">
        <f t="shared" ref="X11" si="7">SUM(X7:X10)</f>
        <v>3934</v>
      </c>
      <c r="Y11" s="129"/>
      <c r="AA11" s="126"/>
      <c r="AB11" s="346" t="s">
        <v>138</v>
      </c>
      <c r="AC11" s="55">
        <f>SUM(AC7:AC10)</f>
        <v>588.59999999999991</v>
      </c>
      <c r="AD11" s="139"/>
      <c r="AE11" s="346" t="s">
        <v>138</v>
      </c>
      <c r="AF11" s="55">
        <f>SUM(AF7:AF10)</f>
        <v>682</v>
      </c>
      <c r="AG11" s="129"/>
    </row>
    <row r="12" spans="1:33" ht="14.45" customHeight="1" x14ac:dyDescent="0.25">
      <c r="A12" s="126"/>
      <c r="B12" s="131"/>
      <c r="C12" s="138"/>
      <c r="D12" s="138"/>
      <c r="E12" s="138"/>
      <c r="F12" s="138"/>
      <c r="G12" s="138"/>
      <c r="H12" s="137"/>
      <c r="I12" s="130"/>
      <c r="J12" s="130"/>
      <c r="K12" s="137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7"/>
      <c r="W12" s="131"/>
      <c r="X12" s="138"/>
      <c r="Y12" s="129"/>
      <c r="AA12" s="126"/>
      <c r="AB12" s="131"/>
      <c r="AC12" s="138"/>
      <c r="AD12" s="137"/>
      <c r="AE12" s="131"/>
      <c r="AF12" s="138"/>
      <c r="AG12" s="129"/>
    </row>
    <row r="13" spans="1:33" x14ac:dyDescent="0.25">
      <c r="A13" s="126"/>
      <c r="B13" s="171" t="s">
        <v>252</v>
      </c>
      <c r="C13" s="138"/>
      <c r="D13" s="234">
        <v>0.7</v>
      </c>
      <c r="E13" s="234">
        <v>0.7</v>
      </c>
      <c r="F13" s="234">
        <v>0.7</v>
      </c>
      <c r="G13" s="234">
        <v>0.7</v>
      </c>
      <c r="H13" s="137"/>
      <c r="I13" s="130"/>
      <c r="J13" s="130"/>
      <c r="K13" s="137"/>
      <c r="L13" s="52" t="s">
        <v>429</v>
      </c>
      <c r="M13" s="296">
        <f t="shared" si="2"/>
        <v>4</v>
      </c>
      <c r="N13" s="27">
        <v>1</v>
      </c>
      <c r="O13" s="27">
        <v>1</v>
      </c>
      <c r="P13" s="27">
        <v>1</v>
      </c>
      <c r="Q13" s="27">
        <v>1</v>
      </c>
      <c r="R13" s="27">
        <v>0</v>
      </c>
      <c r="S13" s="27">
        <v>0</v>
      </c>
      <c r="T13" s="27">
        <v>0</v>
      </c>
      <c r="U13" s="27">
        <v>0</v>
      </c>
      <c r="V13" s="137"/>
      <c r="W13" s="171" t="s">
        <v>304</v>
      </c>
      <c r="X13" s="234">
        <v>0.5</v>
      </c>
      <c r="Y13" s="129"/>
      <c r="AA13" s="126"/>
      <c r="AB13" s="218" t="s">
        <v>252</v>
      </c>
      <c r="AC13" s="234">
        <v>0.3</v>
      </c>
      <c r="AD13" s="137"/>
      <c r="AE13" s="218" t="s">
        <v>481</v>
      </c>
      <c r="AF13" s="234">
        <v>1</v>
      </c>
      <c r="AG13" s="129"/>
    </row>
    <row r="14" spans="1:33" x14ac:dyDescent="0.25">
      <c r="A14" s="126"/>
      <c r="B14" s="235">
        <v>5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137"/>
      <c r="I14" s="130"/>
      <c r="J14" s="130"/>
      <c r="K14" s="137"/>
      <c r="L14" s="52" t="s">
        <v>120</v>
      </c>
      <c r="M14" s="298"/>
      <c r="N14" s="28" t="str">
        <f>IF(N$15&lt;&gt;"",IF(N$16&lt;0,N$15&amp;"("&amp;TEXT(N16,"0")&amp;")",N$15&amp;"("&amp;TEXT(N16,"00")&amp;")"),"")</f>
        <v>'M'(-8)</v>
      </c>
      <c r="O14" s="28" t="str">
        <f t="shared" ref="O14:U14" si="8">IF(O$15&lt;&gt;"",IF(O$16&lt;0,O$15&amp;"("&amp;TEXT(O16,"0")&amp;")",O$15&amp;"("&amp;TEXT(O16,"00")&amp;")"),"")</f>
        <v>'M'(-7)</v>
      </c>
      <c r="P14" s="28" t="str">
        <f t="shared" si="8"/>
        <v>'M'(-4)</v>
      </c>
      <c r="Q14" s="28" t="str">
        <f t="shared" si="8"/>
        <v>'M'(-3)</v>
      </c>
      <c r="R14" s="28" t="str">
        <f t="shared" si="8"/>
        <v/>
      </c>
      <c r="S14" s="28" t="str">
        <f t="shared" si="8"/>
        <v/>
      </c>
      <c r="T14" s="28" t="str">
        <f t="shared" si="8"/>
        <v/>
      </c>
      <c r="U14" s="28" t="str">
        <f t="shared" si="8"/>
        <v/>
      </c>
      <c r="V14" s="137"/>
      <c r="W14" s="235">
        <v>10</v>
      </c>
      <c r="X14" s="3" t="s">
        <v>34</v>
      </c>
      <c r="Y14" s="129"/>
      <c r="AA14" s="126"/>
      <c r="AB14" s="235">
        <v>5</v>
      </c>
      <c r="AC14" s="353" t="s">
        <v>34</v>
      </c>
      <c r="AD14" s="137"/>
      <c r="AE14" s="235">
        <v>5</v>
      </c>
      <c r="AF14" s="353" t="s">
        <v>34</v>
      </c>
      <c r="AG14" s="129"/>
    </row>
    <row r="15" spans="1:33" x14ac:dyDescent="0.25">
      <c r="A15" s="126"/>
      <c r="B15" s="236">
        <f>$X$2</f>
        <v>-1</v>
      </c>
      <c r="C15" s="149">
        <f>SUM(D15:G15)</f>
        <v>850</v>
      </c>
      <c r="D15" s="54">
        <v>550</v>
      </c>
      <c r="E15" s="54">
        <v>300</v>
      </c>
      <c r="F15" s="54">
        <v>0</v>
      </c>
      <c r="G15" s="54">
        <v>0</v>
      </c>
      <c r="H15" s="137"/>
      <c r="I15" s="130"/>
      <c r="J15" s="130"/>
      <c r="K15" s="137"/>
      <c r="L15" s="52" t="s">
        <v>118</v>
      </c>
      <c r="M15" s="299"/>
      <c r="N15" s="280" t="s">
        <v>375</v>
      </c>
      <c r="O15" s="280" t="s">
        <v>375</v>
      </c>
      <c r="P15" s="280" t="s">
        <v>375</v>
      </c>
      <c r="Q15" s="280" t="s">
        <v>375</v>
      </c>
      <c r="R15" s="2"/>
      <c r="S15" s="2"/>
      <c r="T15" s="2"/>
      <c r="U15" s="2"/>
      <c r="V15" s="137"/>
      <c r="W15" s="236">
        <f>$X$2</f>
        <v>-1</v>
      </c>
      <c r="X15" s="237">
        <v>920</v>
      </c>
      <c r="Y15" s="132"/>
      <c r="AA15" s="126"/>
      <c r="AB15" s="345">
        <f>$X$2</f>
        <v>-1</v>
      </c>
      <c r="AC15" s="55">
        <f t="shared" ref="AC15:AC20" si="9">AC$13*C15</f>
        <v>255</v>
      </c>
      <c r="AD15" s="137"/>
      <c r="AE15" s="345">
        <f>$X$2</f>
        <v>-1</v>
      </c>
      <c r="AF15" s="347">
        <v>320</v>
      </c>
      <c r="AG15" s="132"/>
    </row>
    <row r="16" spans="1:33" x14ac:dyDescent="0.25">
      <c r="A16" s="126"/>
      <c r="B16" s="236">
        <f>B15-1</f>
        <v>-2</v>
      </c>
      <c r="C16" s="149">
        <f t="shared" ref="C16:C20" si="10">SUM(D16:G16)</f>
        <v>950</v>
      </c>
      <c r="D16" s="54">
        <v>600</v>
      </c>
      <c r="E16" s="54">
        <v>350</v>
      </c>
      <c r="F16" s="54">
        <v>0</v>
      </c>
      <c r="G16" s="54">
        <v>0</v>
      </c>
      <c r="H16" s="137"/>
      <c r="I16" s="130"/>
      <c r="J16" s="130"/>
      <c r="K16" s="137"/>
      <c r="L16" s="52" t="s">
        <v>119</v>
      </c>
      <c r="M16" s="303">
        <f>AVERAGE(N16:S16)-$X$2-1</f>
        <v>-5.5</v>
      </c>
      <c r="N16" s="238">
        <v>-8</v>
      </c>
      <c r="O16" s="238">
        <v>-7</v>
      </c>
      <c r="P16" s="238">
        <v>-4</v>
      </c>
      <c r="Q16" s="238">
        <v>-3</v>
      </c>
      <c r="R16" s="238"/>
      <c r="S16" s="238"/>
      <c r="T16" s="238"/>
      <c r="U16" s="238"/>
      <c r="V16" s="137"/>
      <c r="W16" s="236">
        <f>W15-1</f>
        <v>-2</v>
      </c>
      <c r="X16" s="237">
        <v>920</v>
      </c>
      <c r="Y16" s="129"/>
      <c r="AA16" s="126"/>
      <c r="AB16" s="345">
        <f>AB15-1</f>
        <v>-2</v>
      </c>
      <c r="AC16" s="55">
        <f t="shared" si="9"/>
        <v>285</v>
      </c>
      <c r="AD16" s="137"/>
      <c r="AE16" s="345">
        <f>AE15-1</f>
        <v>-2</v>
      </c>
      <c r="AF16" s="347">
        <v>350</v>
      </c>
      <c r="AG16" s="129"/>
    </row>
    <row r="17" spans="1:33" x14ac:dyDescent="0.25">
      <c r="A17" s="126"/>
      <c r="B17" s="236">
        <f t="shared" ref="B17:B20" si="11">B16-1</f>
        <v>-3</v>
      </c>
      <c r="C17" s="149">
        <f t="shared" si="10"/>
        <v>1160</v>
      </c>
      <c r="D17" s="54">
        <v>720</v>
      </c>
      <c r="E17" s="54">
        <v>440</v>
      </c>
      <c r="F17" s="54">
        <v>0</v>
      </c>
      <c r="G17" s="54">
        <v>0</v>
      </c>
      <c r="H17" s="137"/>
      <c r="I17" s="130"/>
      <c r="J17" s="130"/>
      <c r="K17" s="137"/>
      <c r="L17" s="52" t="s">
        <v>87</v>
      </c>
      <c r="M17" s="55">
        <f t="shared" si="2"/>
        <v>64000</v>
      </c>
      <c r="N17" s="54">
        <v>14000</v>
      </c>
      <c r="O17" s="54">
        <v>14000</v>
      </c>
      <c r="P17" s="54">
        <v>18000</v>
      </c>
      <c r="Q17" s="54">
        <v>18000</v>
      </c>
      <c r="R17" s="54"/>
      <c r="S17" s="54"/>
      <c r="T17" s="54"/>
      <c r="U17" s="54"/>
      <c r="V17" s="137"/>
      <c r="W17" s="236">
        <f t="shared" ref="W17:W24" si="12">W16-1</f>
        <v>-3</v>
      </c>
      <c r="X17" s="237">
        <v>940</v>
      </c>
      <c r="Y17" s="129"/>
      <c r="AA17" s="126"/>
      <c r="AB17" s="345">
        <f t="shared" ref="AB17:AB20" si="13">AB16-1</f>
        <v>-3</v>
      </c>
      <c r="AC17" s="55">
        <f t="shared" si="9"/>
        <v>348</v>
      </c>
      <c r="AD17" s="137"/>
      <c r="AE17" s="345">
        <f t="shared" ref="AE17:AE20" si="14">AE16-1</f>
        <v>-3</v>
      </c>
      <c r="AF17" s="347">
        <v>350</v>
      </c>
      <c r="AG17" s="129"/>
    </row>
    <row r="18" spans="1:33" x14ac:dyDescent="0.25">
      <c r="A18" s="134"/>
      <c r="B18" s="236">
        <f t="shared" si="11"/>
        <v>-4</v>
      </c>
      <c r="C18" s="149">
        <f t="shared" si="10"/>
        <v>1240</v>
      </c>
      <c r="D18" s="54">
        <v>760</v>
      </c>
      <c r="E18" s="54">
        <v>480</v>
      </c>
      <c r="F18" s="54">
        <v>0</v>
      </c>
      <c r="G18" s="54">
        <v>0</v>
      </c>
      <c r="H18" s="137"/>
      <c r="I18" s="130"/>
      <c r="J18" s="130"/>
      <c r="K18" s="137"/>
      <c r="L18" s="52" t="s">
        <v>294</v>
      </c>
      <c r="M18" s="299"/>
      <c r="N18" s="254">
        <v>10</v>
      </c>
      <c r="O18" s="254">
        <v>10</v>
      </c>
      <c r="P18" s="254">
        <v>10</v>
      </c>
      <c r="Q18" s="254">
        <v>10</v>
      </c>
      <c r="R18" s="254" t="s">
        <v>319</v>
      </c>
      <c r="S18" s="254" t="s">
        <v>319</v>
      </c>
      <c r="T18" s="254" t="s">
        <v>319</v>
      </c>
      <c r="U18" s="254" t="s">
        <v>319</v>
      </c>
      <c r="V18" s="137"/>
      <c r="W18" s="236">
        <f t="shared" si="12"/>
        <v>-4</v>
      </c>
      <c r="X18" s="237">
        <v>940</v>
      </c>
      <c r="Y18" s="129"/>
      <c r="AA18" s="134"/>
      <c r="AB18" s="345">
        <f t="shared" si="13"/>
        <v>-4</v>
      </c>
      <c r="AC18" s="55">
        <f t="shared" si="9"/>
        <v>372</v>
      </c>
      <c r="AD18" s="137"/>
      <c r="AE18" s="345">
        <f t="shared" si="14"/>
        <v>-4</v>
      </c>
      <c r="AF18" s="347">
        <v>380</v>
      </c>
      <c r="AG18" s="129"/>
    </row>
    <row r="19" spans="1:33" x14ac:dyDescent="0.25">
      <c r="A19" s="134"/>
      <c r="B19" s="236">
        <f t="shared" si="11"/>
        <v>-5</v>
      </c>
      <c r="C19" s="149">
        <f t="shared" si="10"/>
        <v>1160</v>
      </c>
      <c r="D19" s="54">
        <v>700</v>
      </c>
      <c r="E19" s="54">
        <v>460</v>
      </c>
      <c r="F19" s="54">
        <v>0</v>
      </c>
      <c r="G19" s="54">
        <v>0</v>
      </c>
      <c r="H19" s="137"/>
      <c r="I19" s="130"/>
      <c r="J19" s="130"/>
      <c r="K19" s="137"/>
      <c r="L19" s="239" t="s">
        <v>291</v>
      </c>
      <c r="M19" s="299"/>
      <c r="N19" s="240">
        <v>500</v>
      </c>
      <c r="O19" s="240">
        <v>500</v>
      </c>
      <c r="P19" s="240">
        <v>500</v>
      </c>
      <c r="Q19" s="240">
        <v>500</v>
      </c>
      <c r="R19" s="240"/>
      <c r="S19" s="240"/>
      <c r="T19" s="240"/>
      <c r="U19" s="240"/>
      <c r="V19" s="137"/>
      <c r="W19" s="236">
        <f t="shared" si="12"/>
        <v>-5</v>
      </c>
      <c r="X19" s="237">
        <v>980</v>
      </c>
      <c r="Y19" s="129"/>
      <c r="AA19" s="134"/>
      <c r="AB19" s="345">
        <f t="shared" si="13"/>
        <v>-5</v>
      </c>
      <c r="AC19" s="55">
        <f t="shared" si="9"/>
        <v>348</v>
      </c>
      <c r="AD19" s="137"/>
      <c r="AE19" s="345">
        <f t="shared" si="14"/>
        <v>-5</v>
      </c>
      <c r="AF19" s="347">
        <v>360</v>
      </c>
      <c r="AG19" s="129"/>
    </row>
    <row r="20" spans="1:33" x14ac:dyDescent="0.25">
      <c r="A20" s="134"/>
      <c r="B20" s="236">
        <f t="shared" si="11"/>
        <v>-6</v>
      </c>
      <c r="C20" s="149">
        <f t="shared" si="10"/>
        <v>1160</v>
      </c>
      <c r="D20" s="54">
        <v>700</v>
      </c>
      <c r="E20" s="54">
        <v>460</v>
      </c>
      <c r="F20" s="54">
        <v>0</v>
      </c>
      <c r="G20" s="54">
        <v>0</v>
      </c>
      <c r="H20" s="137"/>
      <c r="I20" s="130"/>
      <c r="J20" s="130"/>
      <c r="K20" s="137"/>
      <c r="L20" s="52" t="s">
        <v>88</v>
      </c>
      <c r="M20" s="81">
        <f t="shared" si="2"/>
        <v>2100</v>
      </c>
      <c r="N20" s="81">
        <f>IF(N18&lt;&gt;"",N19+100*MAX($X$2-N16-(N18-4),0),0)</f>
        <v>600</v>
      </c>
      <c r="O20" s="81">
        <f t="shared" ref="O20:U20" si="15">IF(O18&lt;&gt;"",O19+100*MAX($X$2-O16-(O18-4),0),0)</f>
        <v>500</v>
      </c>
      <c r="P20" s="81">
        <f t="shared" si="15"/>
        <v>500</v>
      </c>
      <c r="Q20" s="81">
        <f t="shared" si="15"/>
        <v>500</v>
      </c>
      <c r="R20" s="81">
        <f t="shared" si="15"/>
        <v>0</v>
      </c>
      <c r="S20" s="81">
        <f t="shared" si="15"/>
        <v>0</v>
      </c>
      <c r="T20" s="81">
        <f t="shared" si="15"/>
        <v>0</v>
      </c>
      <c r="U20" s="81">
        <f t="shared" si="15"/>
        <v>0</v>
      </c>
      <c r="V20" s="137"/>
      <c r="W20" s="236">
        <f t="shared" si="12"/>
        <v>-6</v>
      </c>
      <c r="X20" s="237">
        <v>980</v>
      </c>
      <c r="Y20" s="129"/>
      <c r="AA20" s="134"/>
      <c r="AB20" s="345">
        <f t="shared" si="13"/>
        <v>-6</v>
      </c>
      <c r="AC20" s="55">
        <f t="shared" si="9"/>
        <v>348</v>
      </c>
      <c r="AD20" s="137"/>
      <c r="AE20" s="345">
        <f t="shared" si="14"/>
        <v>-6</v>
      </c>
      <c r="AF20" s="347">
        <v>370</v>
      </c>
      <c r="AG20" s="129"/>
    </row>
    <row r="21" spans="1:33" x14ac:dyDescent="0.25">
      <c r="A21" s="134"/>
      <c r="B21" s="131"/>
      <c r="C21" s="131"/>
      <c r="D21" s="131"/>
      <c r="E21" s="131"/>
      <c r="F21" s="131"/>
      <c r="G21" s="131"/>
      <c r="H21" s="137"/>
      <c r="I21" s="130"/>
      <c r="J21" s="130"/>
      <c r="K21" s="137"/>
      <c r="L21" s="52" t="s">
        <v>89</v>
      </c>
      <c r="M21" s="81">
        <f t="shared" si="2"/>
        <v>2000</v>
      </c>
      <c r="N21" s="56">
        <v>500</v>
      </c>
      <c r="O21" s="56">
        <v>500</v>
      </c>
      <c r="P21" s="56">
        <v>500</v>
      </c>
      <c r="Q21" s="56">
        <v>500</v>
      </c>
      <c r="R21" s="56"/>
      <c r="S21" s="56"/>
      <c r="T21" s="56"/>
      <c r="U21" s="56"/>
      <c r="V21" s="137"/>
      <c r="W21" s="236">
        <f>W20-1</f>
        <v>-7</v>
      </c>
      <c r="X21" s="237">
        <v>1000</v>
      </c>
      <c r="Y21" s="129"/>
      <c r="AA21" s="134"/>
      <c r="AB21" s="131"/>
      <c r="AC21" s="131"/>
      <c r="AD21" s="137"/>
      <c r="AE21" s="131"/>
      <c r="AF21" s="131"/>
      <c r="AG21" s="129"/>
    </row>
    <row r="22" spans="1:33" x14ac:dyDescent="0.25">
      <c r="A22" s="126"/>
      <c r="B22" s="131"/>
      <c r="C22" s="131"/>
      <c r="D22" s="42"/>
      <c r="E22" s="42"/>
      <c r="F22" s="42"/>
      <c r="G22" s="42"/>
      <c r="H22" s="137"/>
      <c r="I22" s="130"/>
      <c r="J22" s="130"/>
      <c r="K22" s="137"/>
      <c r="L22" s="239" t="s">
        <v>124</v>
      </c>
      <c r="M22" s="297">
        <f t="shared" si="2"/>
        <v>44000</v>
      </c>
      <c r="N22" s="253">
        <v>10000</v>
      </c>
      <c r="O22" s="253">
        <v>10000</v>
      </c>
      <c r="P22" s="253">
        <v>12000</v>
      </c>
      <c r="Q22" s="253">
        <v>12000</v>
      </c>
      <c r="R22" s="253"/>
      <c r="S22" s="253"/>
      <c r="T22" s="253"/>
      <c r="U22" s="253"/>
      <c r="V22" s="137"/>
      <c r="W22" s="236">
        <f t="shared" si="12"/>
        <v>-8</v>
      </c>
      <c r="X22" s="237">
        <v>1000</v>
      </c>
      <c r="Y22" s="129"/>
      <c r="AA22" s="126"/>
      <c r="AB22" s="131"/>
      <c r="AC22" s="131"/>
      <c r="AD22" s="137"/>
      <c r="AE22" s="131"/>
      <c r="AF22" s="42"/>
      <c r="AG22" s="129"/>
    </row>
    <row r="23" spans="1:33" x14ac:dyDescent="0.25">
      <c r="A23" s="126"/>
      <c r="B23" s="130"/>
      <c r="C23" s="130"/>
      <c r="D23" s="381" t="s">
        <v>305</v>
      </c>
      <c r="E23" s="381"/>
      <c r="F23" s="381" t="s">
        <v>61</v>
      </c>
      <c r="G23" s="381"/>
      <c r="H23" s="169"/>
      <c r="I23" s="167"/>
      <c r="J23" s="167"/>
      <c r="K23" s="137"/>
      <c r="L23" s="239" t="s">
        <v>293</v>
      </c>
      <c r="M23" s="300"/>
      <c r="N23" s="241">
        <v>0.8</v>
      </c>
      <c r="O23" s="241">
        <v>0.8</v>
      </c>
      <c r="P23" s="241">
        <v>0.8</v>
      </c>
      <c r="Q23" s="241">
        <v>0.8</v>
      </c>
      <c r="R23" s="241"/>
      <c r="S23" s="241"/>
      <c r="T23" s="241"/>
      <c r="U23" s="241"/>
      <c r="V23" s="169"/>
      <c r="W23" s="236">
        <f t="shared" si="12"/>
        <v>-9</v>
      </c>
      <c r="X23" s="237">
        <v>1000</v>
      </c>
      <c r="Y23" s="129"/>
      <c r="AA23" s="126"/>
      <c r="AB23" s="130"/>
      <c r="AC23" s="130"/>
      <c r="AD23" s="169"/>
      <c r="AE23" s="130"/>
      <c r="AF23" s="130"/>
      <c r="AG23" s="129"/>
    </row>
    <row r="24" spans="1:33" x14ac:dyDescent="0.25">
      <c r="A24" s="126"/>
      <c r="B24" s="130"/>
      <c r="C24" s="130"/>
      <c r="D24" s="24" t="s">
        <v>135</v>
      </c>
      <c r="E24" s="24" t="s">
        <v>136</v>
      </c>
      <c r="F24" s="24" t="s">
        <v>135</v>
      </c>
      <c r="G24" s="24" t="s">
        <v>136</v>
      </c>
      <c r="H24" s="169"/>
      <c r="I24" s="167"/>
      <c r="J24" s="167"/>
      <c r="K24" s="139"/>
      <c r="L24" s="239" t="s">
        <v>292</v>
      </c>
      <c r="M24" s="242">
        <f t="shared" si="2"/>
        <v>24320</v>
      </c>
      <c r="N24" s="242">
        <f t="shared" ref="N24:U24" si="16">N11*N23</f>
        <v>2240</v>
      </c>
      <c r="O24" s="242">
        <f t="shared" si="16"/>
        <v>3360</v>
      </c>
      <c r="P24" s="242">
        <f t="shared" si="16"/>
        <v>8640</v>
      </c>
      <c r="Q24" s="242">
        <f t="shared" si="16"/>
        <v>10080</v>
      </c>
      <c r="R24" s="242">
        <f t="shared" si="16"/>
        <v>0</v>
      </c>
      <c r="S24" s="242">
        <f t="shared" si="16"/>
        <v>0</v>
      </c>
      <c r="T24" s="242">
        <f t="shared" si="16"/>
        <v>0</v>
      </c>
      <c r="U24" s="242">
        <f t="shared" si="16"/>
        <v>0</v>
      </c>
      <c r="V24" s="169"/>
      <c r="W24" s="236">
        <f t="shared" si="12"/>
        <v>-10</v>
      </c>
      <c r="X24" s="237">
        <v>1000</v>
      </c>
      <c r="Y24" s="129"/>
      <c r="AA24" s="126"/>
      <c r="AB24" s="130"/>
      <c r="AC24" s="130"/>
      <c r="AD24" s="169"/>
      <c r="AE24" s="130"/>
      <c r="AF24" s="130"/>
      <c r="AG24" s="129"/>
    </row>
    <row r="25" spans="1:33" x14ac:dyDescent="0.25">
      <c r="A25" s="126"/>
      <c r="B25" s="304" t="s">
        <v>430</v>
      </c>
      <c r="C25" s="3" t="s">
        <v>134</v>
      </c>
      <c r="D25" s="305"/>
      <c r="E25" s="305"/>
      <c r="F25" s="305"/>
      <c r="G25" s="305"/>
      <c r="H25" s="130"/>
      <c r="I25" s="130"/>
      <c r="J25" s="130"/>
      <c r="K25" s="169"/>
      <c r="L25" s="239" t="s">
        <v>404</v>
      </c>
      <c r="M25" s="240">
        <f>J11*J24</f>
        <v>0</v>
      </c>
      <c r="N25" s="139"/>
      <c r="O25" s="130"/>
      <c r="P25" s="130"/>
      <c r="Q25" s="130"/>
      <c r="R25" s="130"/>
      <c r="S25" s="130"/>
      <c r="T25" s="130"/>
      <c r="U25" s="130"/>
      <c r="V25" s="169"/>
      <c r="W25" s="236">
        <f>W24-1</f>
        <v>-11</v>
      </c>
      <c r="X25" s="237">
        <v>1000</v>
      </c>
      <c r="Y25" s="129"/>
      <c r="AA25" s="126"/>
      <c r="AB25" s="130"/>
      <c r="AC25" s="130"/>
      <c r="AD25" s="130"/>
      <c r="AE25" s="130"/>
      <c r="AF25" s="130"/>
      <c r="AG25" s="129"/>
    </row>
    <row r="26" spans="1:33" x14ac:dyDescent="0.25">
      <c r="A26" s="301"/>
      <c r="B26" s="130"/>
      <c r="C26" s="130"/>
      <c r="D26" s="130"/>
      <c r="E26" s="130"/>
      <c r="F26" s="130"/>
      <c r="G26" s="130"/>
      <c r="H26" s="167"/>
      <c r="I26" s="138"/>
      <c r="J26" s="138"/>
      <c r="K26" s="167"/>
      <c r="L26" s="239" t="s">
        <v>405</v>
      </c>
      <c r="M26" s="240">
        <f>J12*M25</f>
        <v>0</v>
      </c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302"/>
      <c r="AA26" s="301"/>
      <c r="AB26" s="130"/>
      <c r="AC26" s="130"/>
      <c r="AD26" s="167"/>
      <c r="AE26" s="130"/>
      <c r="AF26" s="130"/>
      <c r="AG26" s="302"/>
    </row>
    <row r="27" spans="1:33" ht="14.95" thickBot="1" x14ac:dyDescent="0.3">
      <c r="A27" s="143"/>
      <c r="B27" s="145"/>
      <c r="C27" s="145"/>
      <c r="D27" s="145"/>
      <c r="E27" s="145"/>
      <c r="F27" s="145"/>
      <c r="G27" s="145"/>
      <c r="H27" s="145"/>
      <c r="I27" s="144"/>
      <c r="J27" s="144"/>
      <c r="K27" s="145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5"/>
      <c r="W27" s="144"/>
      <c r="X27" s="144"/>
      <c r="Y27" s="293" t="str">
        <f>'Aktuelle Wirtschaftsdaten'!$P$47</f>
        <v>MK_GMS_Pro 2.10</v>
      </c>
      <c r="AA27" s="143"/>
      <c r="AB27" s="145"/>
      <c r="AC27" s="145"/>
      <c r="AD27" s="145"/>
      <c r="AE27" s="145"/>
      <c r="AF27" s="145"/>
      <c r="AG27" s="293"/>
    </row>
  </sheetData>
  <mergeCells count="9">
    <mergeCell ref="D23:E23"/>
    <mergeCell ref="F23:G23"/>
    <mergeCell ref="AB4:AB5"/>
    <mergeCell ref="B4:B5"/>
    <mergeCell ref="D4:E4"/>
    <mergeCell ref="F4:G4"/>
    <mergeCell ref="W4:W5"/>
    <mergeCell ref="I4:I5"/>
    <mergeCell ref="L4:L5"/>
  </mergeCells>
  <conditionalFormatting sqref="D25:G25">
    <cfRule type="expression" dxfId="3" priority="2">
      <formula>D$3&gt;$M$1</formula>
    </cfRule>
  </conditionalFormatting>
  <conditionalFormatting sqref="R4:U4">
    <cfRule type="expression" dxfId="2" priority="3">
      <formula>R$13=0</formula>
    </cfRule>
  </conditionalFormatting>
  <conditionalFormatting sqref="R6:U6">
    <cfRule type="expression" dxfId="1" priority="4">
      <formula>R$13=0</formula>
    </cfRule>
  </conditionalFormatting>
  <conditionalFormatting sqref="R7:U11 R13:U24">
    <cfRule type="expression" dxfId="0" priority="7">
      <formula>R$13=0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4FAF-DF71-414F-9155-E4DD6646E53D}">
  <dimension ref="A1:O19"/>
  <sheetViews>
    <sheetView showGridLines="0" showRowColHeaders="0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26.625" customWidth="1"/>
    <col min="3" max="14" width="11.125" customWidth="1"/>
    <col min="15" max="15" width="1.375" customWidth="1"/>
    <col min="16" max="16" width="12.25" customWidth="1"/>
  </cols>
  <sheetData>
    <row r="1" spans="1:15" ht="7.15" customHeight="1" x14ac:dyDescent="0.25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3"/>
    </row>
    <row r="2" spans="1:15" s="232" customFormat="1" ht="23.45" customHeight="1" x14ac:dyDescent="0.4">
      <c r="A2" s="106"/>
      <c r="B2" s="38" t="s">
        <v>385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78">
        <f>'Aktuelle Wirtschaftsdaten'!$O$2</f>
        <v>-1</v>
      </c>
      <c r="O2" s="108"/>
    </row>
    <row r="3" spans="1:15" ht="5.95" customHeight="1" x14ac:dyDescent="0.25">
      <c r="A3" s="106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108"/>
    </row>
    <row r="4" spans="1:15" ht="15.65" customHeight="1" x14ac:dyDescent="0.25">
      <c r="A4" s="106"/>
      <c r="B4" s="388" t="s">
        <v>426</v>
      </c>
      <c r="C4" s="390" t="s">
        <v>389</v>
      </c>
      <c r="D4" s="391"/>
      <c r="E4" s="392"/>
      <c r="F4" s="390" t="s">
        <v>420</v>
      </c>
      <c r="G4" s="391"/>
      <c r="H4" s="392"/>
      <c r="I4" s="390" t="s">
        <v>427</v>
      </c>
      <c r="J4" s="391"/>
      <c r="K4" s="392"/>
      <c r="L4" s="42"/>
      <c r="M4" s="42"/>
      <c r="N4" s="42"/>
      <c r="O4" s="108"/>
    </row>
    <row r="5" spans="1:15" x14ac:dyDescent="0.25">
      <c r="A5" s="106"/>
      <c r="B5" s="389"/>
      <c r="C5" s="12" t="s">
        <v>110</v>
      </c>
      <c r="D5" s="14" t="s">
        <v>52</v>
      </c>
      <c r="E5" s="12" t="s">
        <v>111</v>
      </c>
      <c r="F5" s="12" t="s">
        <v>110</v>
      </c>
      <c r="G5" s="14" t="s">
        <v>52</v>
      </c>
      <c r="H5" s="14" t="s">
        <v>52</v>
      </c>
      <c r="I5" s="12" t="s">
        <v>110</v>
      </c>
      <c r="J5" s="14" t="s">
        <v>52</v>
      </c>
      <c r="K5" s="14" t="s">
        <v>52</v>
      </c>
      <c r="L5" s="42"/>
      <c r="M5" s="42"/>
      <c r="N5" s="42"/>
      <c r="O5" s="108"/>
    </row>
    <row r="6" spans="1:15" x14ac:dyDescent="0.25">
      <c r="A6" s="106"/>
      <c r="B6" s="233" t="s">
        <v>112</v>
      </c>
      <c r="C6" s="54">
        <v>0</v>
      </c>
      <c r="D6" s="243">
        <v>0</v>
      </c>
      <c r="E6" s="54">
        <v>0</v>
      </c>
      <c r="F6" s="54">
        <v>11200</v>
      </c>
      <c r="G6" s="243">
        <v>428</v>
      </c>
      <c r="H6" s="54">
        <f>F6*G6/1000</f>
        <v>4793.6000000000004</v>
      </c>
      <c r="I6" s="54">
        <v>0</v>
      </c>
      <c r="J6" s="243">
        <v>0</v>
      </c>
      <c r="K6" s="54">
        <v>0</v>
      </c>
      <c r="L6" s="42"/>
      <c r="M6" s="42"/>
      <c r="N6" s="42"/>
      <c r="O6" s="108"/>
    </row>
    <row r="7" spans="1:15" x14ac:dyDescent="0.25">
      <c r="A7" s="106"/>
      <c r="B7" s="233" t="s">
        <v>113</v>
      </c>
      <c r="C7" s="54">
        <v>41000</v>
      </c>
      <c r="D7" s="243">
        <v>44</v>
      </c>
      <c r="E7" s="149">
        <f>C7*D7/1000</f>
        <v>1804</v>
      </c>
      <c r="F7" s="54">
        <v>40000</v>
      </c>
      <c r="G7" s="243">
        <v>430</v>
      </c>
      <c r="H7" s="149">
        <f>F7*G7/1000</f>
        <v>17200</v>
      </c>
      <c r="I7" s="54">
        <v>0</v>
      </c>
      <c r="J7" s="243">
        <v>0</v>
      </c>
      <c r="K7" s="149">
        <f>I7*J7/1000</f>
        <v>0</v>
      </c>
      <c r="L7" s="42"/>
      <c r="M7" s="42"/>
      <c r="N7" s="42"/>
      <c r="O7" s="108"/>
    </row>
    <row r="8" spans="1:15" x14ac:dyDescent="0.25">
      <c r="A8" s="106"/>
      <c r="B8" s="233" t="s">
        <v>377</v>
      </c>
      <c r="C8" s="149">
        <f>IF(SUM(C6:C7)+C9&gt;0,0,-SUM(C6:C7)-C9)</f>
        <v>0</v>
      </c>
      <c r="D8" s="244">
        <f>'Aktuelle Wirtschaftsdaten'!$E$6</f>
        <v>59</v>
      </c>
      <c r="E8" s="149">
        <f>C8*D8/1000</f>
        <v>0</v>
      </c>
      <c r="F8" s="149">
        <f>IF(SUM(F6:F7)+F9&gt;0,0,-SUM(F6:F7)-F9)</f>
        <v>0</v>
      </c>
      <c r="G8" s="244">
        <f>'Aktuelle Wirtschaftsdaten'!$E$12</f>
        <v>534</v>
      </c>
      <c r="H8" s="149">
        <f>F8*G8/1000</f>
        <v>0</v>
      </c>
      <c r="I8" s="149">
        <f>IF(SUM(I6:I7)+I9&gt;0,0,-SUM(I6:I7)-I9)</f>
        <v>0</v>
      </c>
      <c r="J8" s="244">
        <f>'Aktuelle Wirtschaftsdaten'!$E$19</f>
        <v>948</v>
      </c>
      <c r="K8" s="149">
        <f>I8*J8/1000</f>
        <v>0</v>
      </c>
      <c r="L8" s="42"/>
      <c r="M8" s="42"/>
      <c r="N8" s="42"/>
      <c r="O8" s="108"/>
    </row>
    <row r="9" spans="1:15" x14ac:dyDescent="0.25">
      <c r="A9" s="106"/>
      <c r="B9" s="233" t="s">
        <v>114</v>
      </c>
      <c r="C9" s="160">
        <f>-'Aktuelle Wirtschaftsdaten'!$J$23*Fertigung!$D$6-'Aktuelle Wirtschaftsdaten'!$J$28*Fertigung!$E$6</f>
        <v>-41000</v>
      </c>
      <c r="D9" s="245">
        <f t="array" ref="D9">IF(SUM(C6:C8)&gt;0,IF(D7&gt;=D6,SUM(C6:C8*D6:D8)/SUM(C6:C8),1000*E9/C9),0)</f>
        <v>44</v>
      </c>
      <c r="E9" s="149">
        <f>IF(D7&gt;=D6,ROUND(C9*D9/1000,3),E10-SUM(E6:E8))</f>
        <v>-1804</v>
      </c>
      <c r="F9" s="160">
        <f>-'Aktuelle Wirtschaftsdaten'!$J$24*Fertigung!$D$6</f>
        <v>-41000</v>
      </c>
      <c r="G9" s="245">
        <f t="array" ref="G9">IF(SUM(F6:F8)&gt;0,IF(G7&gt;=G6,SUM(F6:F8*G6:G8)/SUM(F6:F8),1000*H9/F9),0)</f>
        <v>429.5625</v>
      </c>
      <c r="H9" s="149">
        <f>IF(G7&gt;=G6,ROUND(F9*G9/1000,3),H10-SUM(H6:H8))</f>
        <v>-17612.062999999998</v>
      </c>
      <c r="I9" s="160">
        <f>-'Aktuelle Wirtschaftsdaten'!$J$29*Fertigung!$E$6</f>
        <v>0</v>
      </c>
      <c r="J9" s="245">
        <f t="array" ref="J9">IF(SUM(I6:I8)&gt;0,IF(J7&gt;=J6,SUM(I6:I8*J6:J8)/SUM(I6:I8),1000*K9/I9),0)</f>
        <v>0</v>
      </c>
      <c r="K9" s="149">
        <f>IF(J7&gt;=J6,ROUND(I9*J9/1000,3),K10-SUM(K6:K8))</f>
        <v>0</v>
      </c>
      <c r="L9" s="42"/>
      <c r="M9" s="42"/>
      <c r="N9" s="42"/>
      <c r="O9" s="108"/>
    </row>
    <row r="10" spans="1:15" x14ac:dyDescent="0.25">
      <c r="A10" s="106"/>
      <c r="B10" s="233" t="s">
        <v>115</v>
      </c>
      <c r="C10" s="149">
        <f>SUM(C6:C9)</f>
        <v>0</v>
      </c>
      <c r="D10" s="245">
        <f>IF(C10&lt;&gt;0,1000*E10/C10,0)</f>
        <v>0</v>
      </c>
      <c r="E10" s="149">
        <f>IF(D7&gt;=D6,SUM(E6:E9),ROUND(C10*D7/1000,3))</f>
        <v>0</v>
      </c>
      <c r="F10" s="149">
        <f>SUM(F6:F9)</f>
        <v>10200</v>
      </c>
      <c r="G10" s="245">
        <f>IF(F10&lt;&gt;0,1000*H10/F10,0)</f>
        <v>429.56245098039216</v>
      </c>
      <c r="H10" s="149">
        <f>IF(G7&gt;=G6,SUM(H6:H9),ROUND(F10*G7/1000,3))</f>
        <v>4381.5370000000003</v>
      </c>
      <c r="I10" s="149">
        <f>SUM(I6:I9)</f>
        <v>0</v>
      </c>
      <c r="J10" s="245">
        <f>IF(I10&lt;&gt;0,1000*K10/I10,0)</f>
        <v>0</v>
      </c>
      <c r="K10" s="149">
        <f>IF(J7&gt;=J6,SUM(K6:K9),ROUND(I10*J7/1000,3))</f>
        <v>0</v>
      </c>
      <c r="L10" s="42"/>
      <c r="M10" s="42"/>
      <c r="N10" s="42"/>
      <c r="O10" s="108"/>
    </row>
    <row r="11" spans="1:15" x14ac:dyDescent="0.25">
      <c r="A11" s="106"/>
      <c r="B11" s="42"/>
      <c r="C11" s="42"/>
      <c r="D11" s="42"/>
      <c r="E11" s="42"/>
      <c r="F11" s="93"/>
      <c r="G11" s="42"/>
      <c r="H11" s="42"/>
      <c r="I11" s="93"/>
      <c r="J11" s="42"/>
      <c r="K11" s="42"/>
      <c r="L11" s="42"/>
      <c r="M11" s="42"/>
      <c r="N11" s="42"/>
      <c r="O11" s="108"/>
    </row>
    <row r="12" spans="1:15" ht="15.65" customHeight="1" x14ac:dyDescent="0.25">
      <c r="A12" s="106"/>
      <c r="B12" s="393" t="s">
        <v>253</v>
      </c>
      <c r="C12" s="387" t="s">
        <v>308</v>
      </c>
      <c r="D12" s="387"/>
      <c r="E12" s="387"/>
      <c r="F12" s="387" t="s">
        <v>309</v>
      </c>
      <c r="G12" s="387"/>
      <c r="H12" s="387"/>
      <c r="I12" s="387" t="s">
        <v>62</v>
      </c>
      <c r="J12" s="387"/>
      <c r="K12" s="387"/>
      <c r="L12" s="387" t="s">
        <v>64</v>
      </c>
      <c r="M12" s="387"/>
      <c r="N12" s="387"/>
      <c r="O12" s="108"/>
    </row>
    <row r="13" spans="1:15" x14ac:dyDescent="0.25">
      <c r="A13" s="106"/>
      <c r="B13" s="394"/>
      <c r="C13" s="3" t="s">
        <v>110</v>
      </c>
      <c r="D13" s="3" t="s">
        <v>52</v>
      </c>
      <c r="E13" s="3" t="s">
        <v>111</v>
      </c>
      <c r="F13" s="3" t="s">
        <v>110</v>
      </c>
      <c r="G13" s="3" t="s">
        <v>52</v>
      </c>
      <c r="H13" s="3" t="s">
        <v>111</v>
      </c>
      <c r="I13" s="3" t="s">
        <v>110</v>
      </c>
      <c r="J13" s="3" t="s">
        <v>52</v>
      </c>
      <c r="K13" s="3" t="s">
        <v>111</v>
      </c>
      <c r="L13" s="3" t="s">
        <v>110</v>
      </c>
      <c r="M13" s="3" t="s">
        <v>52</v>
      </c>
      <c r="N13" s="3" t="s">
        <v>111</v>
      </c>
      <c r="O13" s="108"/>
    </row>
    <row r="14" spans="1:15" x14ac:dyDescent="0.25">
      <c r="A14" s="106"/>
      <c r="B14" s="233" t="s">
        <v>112</v>
      </c>
      <c r="C14" s="54">
        <v>1300</v>
      </c>
      <c r="D14" s="243">
        <v>1188</v>
      </c>
      <c r="E14" s="54">
        <f>C14*D14/1000</f>
        <v>1544.4</v>
      </c>
      <c r="F14" s="54">
        <v>0</v>
      </c>
      <c r="G14" s="243">
        <v>0</v>
      </c>
      <c r="H14" s="54">
        <v>0</v>
      </c>
      <c r="I14" s="54">
        <v>0</v>
      </c>
      <c r="J14" s="243">
        <v>0</v>
      </c>
      <c r="K14" s="54">
        <v>0</v>
      </c>
      <c r="L14" s="54">
        <v>0</v>
      </c>
      <c r="M14" s="243">
        <v>0</v>
      </c>
      <c r="N14" s="54">
        <v>0</v>
      </c>
      <c r="O14" s="108"/>
    </row>
    <row r="15" spans="1:15" x14ac:dyDescent="0.25">
      <c r="A15" s="106"/>
      <c r="B15" s="233" t="s">
        <v>116</v>
      </c>
      <c r="C15" s="160">
        <f>Fertigung!$D$6-F15</f>
        <v>41000</v>
      </c>
      <c r="D15" s="244">
        <f>IF(ISNUMBER(ROUNDDOWN('KostenRechnung 2'!$H$11,0)),ROUNDDOWN('KostenRechnung 2'!$H$11,0),0)</f>
        <v>1191</v>
      </c>
      <c r="E15" s="149">
        <f>C15*D15/1000</f>
        <v>48831</v>
      </c>
      <c r="F15" s="54">
        <v>0</v>
      </c>
      <c r="G15" s="245">
        <f>D15</f>
        <v>1191</v>
      </c>
      <c r="H15" s="149">
        <f>F15*G15/1000</f>
        <v>0</v>
      </c>
      <c r="I15" s="160">
        <f>Fertigung!$E$6-L15</f>
        <v>0</v>
      </c>
      <c r="J15" s="244">
        <f>IF(ISNUMBER(ROUNDDOWN('KostenRechnung 2'!$I$11,0)),ROUNDDOWN('KostenRechnung 2'!$I$11,0),0)</f>
        <v>0</v>
      </c>
      <c r="K15" s="149">
        <f>I15*J15/1000</f>
        <v>0</v>
      </c>
      <c r="L15" s="54">
        <v>0</v>
      </c>
      <c r="M15" s="245">
        <f>J15</f>
        <v>0</v>
      </c>
      <c r="N15" s="149">
        <f>L15*M15/1000</f>
        <v>0</v>
      </c>
      <c r="O15" s="108"/>
    </row>
    <row r="16" spans="1:15" x14ac:dyDescent="0.25">
      <c r="A16" s="106"/>
      <c r="B16" s="233" t="s">
        <v>378</v>
      </c>
      <c r="C16" s="54">
        <v>0</v>
      </c>
      <c r="D16" s="245"/>
      <c r="E16" s="149">
        <f>C16*D16/1000</f>
        <v>0</v>
      </c>
      <c r="F16" s="149">
        <f>-C16</f>
        <v>0</v>
      </c>
      <c r="G16" s="245">
        <f>D16</f>
        <v>0</v>
      </c>
      <c r="H16" s="149">
        <f>F16*G16/1000</f>
        <v>0</v>
      </c>
      <c r="I16" s="54">
        <v>0</v>
      </c>
      <c r="J16" s="245"/>
      <c r="K16" s="149">
        <f>I16*J16/1000</f>
        <v>0</v>
      </c>
      <c r="L16" s="149">
        <f>-I16</f>
        <v>0</v>
      </c>
      <c r="M16" s="245">
        <f>J16</f>
        <v>0</v>
      </c>
      <c r="N16" s="149">
        <f>L16*M16/1000</f>
        <v>0</v>
      </c>
      <c r="O16" s="108"/>
    </row>
    <row r="17" spans="1:15" x14ac:dyDescent="0.25">
      <c r="A17" s="106"/>
      <c r="B17" s="233" t="s">
        <v>117</v>
      </c>
      <c r="C17" s="160">
        <f>-ErlösRechnung!$E$10-ErlösRechnung!$E$12</f>
        <v>-40079</v>
      </c>
      <c r="D17" s="245">
        <f t="array" ref="D17">IF(SUM(C14:C16)&gt;0,IF(D15&gt;=D14,SUM(C14:C16*D14:D16)/SUM(C14:C16),1000*E17/C17),0)</f>
        <v>1190.9078014184397</v>
      </c>
      <c r="E17" s="149">
        <f>IF(D15&gt;=D14,ROUND(C17*D17/1000,3),E18-SUM(E14:E16))</f>
        <v>-47730.394</v>
      </c>
      <c r="F17" s="160">
        <f>-ErlösRechnung!$E$11</f>
        <v>0</v>
      </c>
      <c r="G17" s="245">
        <f t="array" ref="G17">IF(SUM(F14:F16)&gt;0,IF(G15&gt;=G14,SUM(F14:F16*G14:G16)/SUM(F14:F16),1000*H17/F17),0)</f>
        <v>0</v>
      </c>
      <c r="H17" s="149">
        <f>IF(G15&gt;=G14,ROUND(F17*G17/1000,3),H18-SUM(H14:H16))</f>
        <v>0</v>
      </c>
      <c r="I17" s="160">
        <f>-ErlösRechnung!$E$23</f>
        <v>0</v>
      </c>
      <c r="J17" s="245">
        <f t="array" ref="J17">IF(SUM(I14:I16)&gt;0,IF(J15&gt;=J14,SUM(I14:I16*J14:J16)/SUM(I14:I16),1000*K17/I17),0)</f>
        <v>0</v>
      </c>
      <c r="K17" s="149">
        <f>IF(J15&gt;=J14,ROUND(I17*J17/1000,3),K18-SUM(K14:K16))</f>
        <v>0</v>
      </c>
      <c r="L17" s="160">
        <f>-ErlösRechnung!$E$24</f>
        <v>0</v>
      </c>
      <c r="M17" s="245">
        <f t="array" ref="M17">IF(SUM(L14:L16)&gt;0,IF(M15&gt;=M14,SUM(L14:L16*M14:M16)/SUM(L14:L16),1000*N17/L17),0)</f>
        <v>0</v>
      </c>
      <c r="N17" s="149">
        <f>IF(M15&gt;=M14,ROUND(L17*M17/1000,3),N18-SUM(N14:N16))</f>
        <v>0</v>
      </c>
      <c r="O17" s="108"/>
    </row>
    <row r="18" spans="1:15" x14ac:dyDescent="0.25">
      <c r="A18" s="106"/>
      <c r="B18" s="233" t="s">
        <v>115</v>
      </c>
      <c r="C18" s="149">
        <f>SUM(C14:C17)</f>
        <v>2221</v>
      </c>
      <c r="D18" s="245">
        <f>IF(C18&lt;&gt;0,1000*E18/C18,0)</f>
        <v>1190.9076992345797</v>
      </c>
      <c r="E18" s="149">
        <f>IF(D15&gt;=D14,SUM(E14:E17),ROUND(C18*D15/1000,3))</f>
        <v>2645.0060000000012</v>
      </c>
      <c r="F18" s="149">
        <f>SUM(F14:F17)</f>
        <v>0</v>
      </c>
      <c r="G18" s="245">
        <f>IF(F18&lt;&gt;0,1000*H18/F18,0)</f>
        <v>0</v>
      </c>
      <c r="H18" s="149">
        <f>IF(G15&gt;=G14,SUM(H14:H17),ROUND(F18*G15/1000,3))</f>
        <v>0</v>
      </c>
      <c r="I18" s="149">
        <f>SUM(I14:I17)</f>
        <v>0</v>
      </c>
      <c r="J18" s="245">
        <f>IF(I18&lt;&gt;0,1000*K18/I18,0)</f>
        <v>0</v>
      </c>
      <c r="K18" s="149">
        <f>IF(J15&gt;=J14,SUM(K14:K17),ROUND(I18*J15/1000,3))</f>
        <v>0</v>
      </c>
      <c r="L18" s="149">
        <f>SUM(L14:L17)</f>
        <v>0</v>
      </c>
      <c r="M18" s="245">
        <f>IF(L18&lt;&gt;0,1000*N18/L18,0)</f>
        <v>0</v>
      </c>
      <c r="N18" s="149">
        <f>IF(M15&gt;=M14,SUM(N14:N17),ROUND(L18*M15/1000,3))</f>
        <v>0</v>
      </c>
      <c r="O18" s="108"/>
    </row>
    <row r="19" spans="1:15" ht="14.95" thickBot="1" x14ac:dyDescent="0.3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293" t="str">
        <f>'Aktuelle Wirtschaftsdaten'!$P$47</f>
        <v>MK_GMS_Pro 2.10</v>
      </c>
    </row>
  </sheetData>
  <mergeCells count="9">
    <mergeCell ref="L12:N12"/>
    <mergeCell ref="B4:B5"/>
    <mergeCell ref="C4:E4"/>
    <mergeCell ref="F4:H4"/>
    <mergeCell ref="I4:K4"/>
    <mergeCell ref="B12:B13"/>
    <mergeCell ref="C12:E12"/>
    <mergeCell ref="F12:H12"/>
    <mergeCell ref="I12:K12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22CE-FB9D-49FA-9AE7-562D5393549C}">
  <dimension ref="A1:U28"/>
  <sheetViews>
    <sheetView showGridLines="0" showRowColHeaders="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18.875" customWidth="1"/>
    <col min="3" max="4" width="11.125" customWidth="1"/>
    <col min="5" max="5" width="1.375" customWidth="1"/>
    <col min="6" max="6" width="23.375" customWidth="1"/>
    <col min="7" max="8" width="11.125" customWidth="1"/>
    <col min="9" max="9" width="1.375" customWidth="1"/>
    <col min="10" max="10" width="18.875" customWidth="1"/>
    <col min="11" max="12" width="11.125" customWidth="1"/>
    <col min="13" max="13" width="1.375" customWidth="1"/>
    <col min="14" max="14" width="18.875" customWidth="1"/>
    <col min="15" max="16" width="11.125" customWidth="1"/>
    <col min="17" max="17" width="1.375" customWidth="1"/>
    <col min="18" max="18" width="18.875" customWidth="1"/>
    <col min="19" max="20" width="11.125" customWidth="1"/>
    <col min="21" max="21" width="1.375" customWidth="1"/>
  </cols>
  <sheetData>
    <row r="1" spans="1:21" ht="7.15" customHeight="1" x14ac:dyDescent="0.2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4"/>
      <c r="U1" s="125"/>
    </row>
    <row r="2" spans="1:21" s="232" customFormat="1" ht="23.45" customHeight="1" x14ac:dyDescent="0.4">
      <c r="A2" s="229"/>
      <c r="B2" s="127" t="s">
        <v>257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230"/>
      <c r="T2" s="78">
        <f>'Aktuelle Wirtschaftsdaten'!$O$2</f>
        <v>-1</v>
      </c>
      <c r="U2" s="231"/>
    </row>
    <row r="3" spans="1:21" ht="5.95" customHeight="1" x14ac:dyDescent="0.25">
      <c r="A3" s="126"/>
      <c r="B3" s="130"/>
      <c r="C3" s="167"/>
      <c r="D3" s="167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67"/>
      <c r="P3" s="167"/>
      <c r="Q3" s="130"/>
      <c r="R3" s="130"/>
      <c r="S3" s="167"/>
      <c r="T3" s="138"/>
      <c r="U3" s="132"/>
    </row>
    <row r="4" spans="1:21" ht="14.45" customHeight="1" x14ac:dyDescent="0.25">
      <c r="A4" s="126"/>
      <c r="B4" s="177"/>
      <c r="C4" s="177"/>
      <c r="D4" s="177"/>
      <c r="E4" s="42"/>
      <c r="F4" s="246"/>
      <c r="G4" s="246"/>
      <c r="H4" s="246"/>
      <c r="I4" s="177"/>
      <c r="J4" s="130"/>
      <c r="K4" s="130"/>
      <c r="L4" s="130"/>
      <c r="M4" s="177"/>
      <c r="N4" s="131"/>
      <c r="O4" s="138"/>
      <c r="P4" s="138"/>
      <c r="Q4" s="130"/>
      <c r="R4" s="131"/>
      <c r="S4" s="138"/>
      <c r="T4" s="138"/>
      <c r="U4" s="132"/>
    </row>
    <row r="5" spans="1:21" ht="14.45" customHeight="1" x14ac:dyDescent="0.25">
      <c r="A5" s="126"/>
      <c r="B5" s="395" t="s">
        <v>318</v>
      </c>
      <c r="C5" s="20" t="s">
        <v>256</v>
      </c>
      <c r="D5" s="20" t="s">
        <v>31</v>
      </c>
      <c r="E5" s="42"/>
      <c r="F5" s="363" t="s">
        <v>141</v>
      </c>
      <c r="G5" s="20" t="s">
        <v>256</v>
      </c>
      <c r="H5" s="20" t="s">
        <v>31</v>
      </c>
      <c r="I5" s="177"/>
      <c r="J5" s="397" t="s">
        <v>374</v>
      </c>
      <c r="K5" s="20" t="s">
        <v>256</v>
      </c>
      <c r="L5" s="20" t="s">
        <v>31</v>
      </c>
      <c r="M5" s="177"/>
      <c r="N5" s="397" t="s">
        <v>372</v>
      </c>
      <c r="O5" s="20" t="s">
        <v>256</v>
      </c>
      <c r="P5" s="20" t="s">
        <v>31</v>
      </c>
      <c r="Q5" s="130"/>
      <c r="R5" s="397" t="s">
        <v>373</v>
      </c>
      <c r="S5" s="20" t="s">
        <v>256</v>
      </c>
      <c r="T5" s="20" t="s">
        <v>31</v>
      </c>
      <c r="U5" s="132"/>
    </row>
    <row r="6" spans="1:21" ht="14.45" customHeight="1" x14ac:dyDescent="0.25">
      <c r="A6" s="126"/>
      <c r="B6" s="396"/>
      <c r="C6" s="3" t="s">
        <v>134</v>
      </c>
      <c r="D6" s="3" t="s">
        <v>134</v>
      </c>
      <c r="E6" s="177"/>
      <c r="F6" s="364"/>
      <c r="G6" s="3" t="s">
        <v>54</v>
      </c>
      <c r="H6" s="3" t="s">
        <v>54</v>
      </c>
      <c r="I6" s="177"/>
      <c r="J6" s="364"/>
      <c r="K6" s="3" t="s">
        <v>54</v>
      </c>
      <c r="L6" s="3" t="s">
        <v>54</v>
      </c>
      <c r="M6" s="177"/>
      <c r="N6" s="364"/>
      <c r="O6" s="3" t="s">
        <v>54</v>
      </c>
      <c r="P6" s="3" t="s">
        <v>54</v>
      </c>
      <c r="Q6" s="130"/>
      <c r="R6" s="364"/>
      <c r="S6" s="3" t="s">
        <v>54</v>
      </c>
      <c r="T6" s="3" t="s">
        <v>54</v>
      </c>
      <c r="U6" s="132"/>
    </row>
    <row r="7" spans="1:21" ht="14.45" customHeight="1" x14ac:dyDescent="0.25">
      <c r="A7" s="126"/>
      <c r="B7" s="63" t="s">
        <v>350</v>
      </c>
      <c r="C7" s="264" t="s">
        <v>351</v>
      </c>
      <c r="D7" s="264" t="s">
        <v>351</v>
      </c>
      <c r="E7" s="42"/>
      <c r="F7" s="63" t="s">
        <v>317</v>
      </c>
      <c r="G7" s="58">
        <v>4.0000000000000002E-4</v>
      </c>
      <c r="H7" s="58">
        <v>4.0000000000000002E-4</v>
      </c>
      <c r="I7" s="177"/>
      <c r="J7" s="63" t="s">
        <v>317</v>
      </c>
      <c r="K7" s="263">
        <f>G7</f>
        <v>4.0000000000000002E-4</v>
      </c>
      <c r="L7" s="263">
        <f>H7</f>
        <v>4.0000000000000002E-4</v>
      </c>
      <c r="M7" s="177"/>
      <c r="N7" s="63" t="s">
        <v>317</v>
      </c>
      <c r="O7" s="263">
        <f>ROUND(G7*1.3,4)</f>
        <v>5.0000000000000001E-4</v>
      </c>
      <c r="P7" s="263">
        <f>ROUND(H7*1.3,4)</f>
        <v>5.0000000000000001E-4</v>
      </c>
      <c r="Q7" s="130"/>
      <c r="R7" s="63" t="s">
        <v>317</v>
      </c>
      <c r="S7" s="263">
        <f>ROUND(G7*1.5,4)</f>
        <v>5.9999999999999995E-4</v>
      </c>
      <c r="T7" s="263">
        <f>ROUND(H7*1.5,4)</f>
        <v>5.9999999999999995E-4</v>
      </c>
      <c r="U7" s="132"/>
    </row>
    <row r="8" spans="1:21" ht="14.45" customHeight="1" x14ac:dyDescent="0.25">
      <c r="A8" s="126"/>
      <c r="B8" s="177"/>
      <c r="C8" s="177"/>
      <c r="D8" s="177"/>
      <c r="E8" s="42"/>
      <c r="F8" s="246"/>
      <c r="G8" s="246"/>
      <c r="H8" s="246"/>
      <c r="I8" s="177"/>
      <c r="J8" s="130"/>
      <c r="K8" s="130"/>
      <c r="L8" s="130"/>
      <c r="M8" s="177"/>
      <c r="N8" s="131"/>
      <c r="O8" s="138"/>
      <c r="P8" s="138"/>
      <c r="Q8" s="130"/>
      <c r="R8" s="131"/>
      <c r="S8" s="138"/>
      <c r="T8" s="138"/>
      <c r="U8" s="132"/>
    </row>
    <row r="9" spans="1:21" ht="14.45" customHeight="1" x14ac:dyDescent="0.25">
      <c r="A9" s="126"/>
      <c r="B9" s="363" t="s">
        <v>258</v>
      </c>
      <c r="C9" s="20" t="s">
        <v>256</v>
      </c>
      <c r="D9" s="20" t="s">
        <v>31</v>
      </c>
      <c r="E9" s="246"/>
      <c r="F9" s="363" t="str">
        <f>F5</f>
        <v>Kontokorrentkredit (1P)</v>
      </c>
      <c r="G9" s="20" t="s">
        <v>256</v>
      </c>
      <c r="H9" s="20" t="s">
        <v>31</v>
      </c>
      <c r="I9" s="246"/>
      <c r="J9" s="363" t="str">
        <f>J5</f>
        <v>'S'-Darlehen (1P)</v>
      </c>
      <c r="K9" s="20" t="s">
        <v>256</v>
      </c>
      <c r="L9" s="20" t="s">
        <v>31</v>
      </c>
      <c r="M9" s="139"/>
      <c r="N9" s="363" t="str">
        <f>N5</f>
        <v>'M'-Darlehen (5P)</v>
      </c>
      <c r="O9" s="20" t="s">
        <v>256</v>
      </c>
      <c r="P9" s="20" t="s">
        <v>31</v>
      </c>
      <c r="Q9" s="139"/>
      <c r="R9" s="363" t="str">
        <f>R5</f>
        <v>'L'-Darlehen (10P)</v>
      </c>
      <c r="S9" s="20" t="s">
        <v>256</v>
      </c>
      <c r="T9" s="20" t="s">
        <v>31</v>
      </c>
      <c r="U9" s="129"/>
    </row>
    <row r="10" spans="1:21" ht="14.45" customHeight="1" x14ac:dyDescent="0.25">
      <c r="A10" s="126"/>
      <c r="B10" s="364"/>
      <c r="C10" s="3" t="s">
        <v>34</v>
      </c>
      <c r="D10" s="3" t="s">
        <v>34</v>
      </c>
      <c r="E10" s="42"/>
      <c r="F10" s="364"/>
      <c r="G10" s="3" t="s">
        <v>34</v>
      </c>
      <c r="H10" s="3" t="s">
        <v>34</v>
      </c>
      <c r="I10" s="42"/>
      <c r="J10" s="364"/>
      <c r="K10" s="3" t="s">
        <v>34</v>
      </c>
      <c r="L10" s="3" t="s">
        <v>34</v>
      </c>
      <c r="M10" s="139"/>
      <c r="N10" s="364"/>
      <c r="O10" s="3" t="s">
        <v>34</v>
      </c>
      <c r="P10" s="3" t="s">
        <v>34</v>
      </c>
      <c r="Q10" s="139"/>
      <c r="R10" s="364"/>
      <c r="S10" s="12" t="s">
        <v>34</v>
      </c>
      <c r="T10" s="12" t="s">
        <v>34</v>
      </c>
      <c r="U10" s="129"/>
    </row>
    <row r="11" spans="1:21" ht="14.45" customHeight="1" x14ac:dyDescent="0.25">
      <c r="A11" s="134"/>
      <c r="B11" s="233" t="s">
        <v>255</v>
      </c>
      <c r="C11" s="149">
        <f>C$17</f>
        <v>500</v>
      </c>
      <c r="D11" s="149">
        <f>C$18</f>
        <v>800</v>
      </c>
      <c r="E11" s="42"/>
      <c r="F11" s="233" t="s">
        <v>255</v>
      </c>
      <c r="G11" s="149">
        <f>G$17</f>
        <v>0</v>
      </c>
      <c r="H11" s="149">
        <f>G$18</f>
        <v>0</v>
      </c>
      <c r="I11" s="42"/>
      <c r="J11" s="233" t="s">
        <v>255</v>
      </c>
      <c r="K11" s="149">
        <f>K$17</f>
        <v>11000</v>
      </c>
      <c r="L11" s="149">
        <f>K$18</f>
        <v>14000</v>
      </c>
      <c r="M11" s="137"/>
      <c r="N11" s="233" t="s">
        <v>255</v>
      </c>
      <c r="O11" s="149">
        <f>SUM(O$17:O$21)</f>
        <v>15000</v>
      </c>
      <c r="P11" s="149">
        <f>SUM(O$18:O$22)</f>
        <v>15000</v>
      </c>
      <c r="Q11" s="137"/>
      <c r="R11" s="233" t="s">
        <v>255</v>
      </c>
      <c r="S11" s="149">
        <f>SUM(S$17:S$26)</f>
        <v>23000</v>
      </c>
      <c r="T11" s="149">
        <f>SUM(S$18:S$27)</f>
        <v>26000</v>
      </c>
      <c r="U11" s="129"/>
    </row>
    <row r="12" spans="1:21" ht="14.45" customHeight="1" x14ac:dyDescent="0.25">
      <c r="A12" s="134"/>
      <c r="B12" s="233" t="s">
        <v>270</v>
      </c>
      <c r="C12" s="149">
        <f>C$17</f>
        <v>500</v>
      </c>
      <c r="D12" s="149">
        <f>C$18</f>
        <v>800</v>
      </c>
      <c r="E12" s="42"/>
      <c r="F12" s="233" t="s">
        <v>270</v>
      </c>
      <c r="G12" s="149">
        <f>G$17</f>
        <v>0</v>
      </c>
      <c r="H12" s="149">
        <f>G$18</f>
        <v>0</v>
      </c>
      <c r="I12" s="42"/>
      <c r="J12" s="233" t="s">
        <v>270</v>
      </c>
      <c r="K12" s="149">
        <f>K$17</f>
        <v>11000</v>
      </c>
      <c r="L12" s="149">
        <f>K$18</f>
        <v>14000</v>
      </c>
      <c r="M12" s="137"/>
      <c r="N12" s="233" t="s">
        <v>270</v>
      </c>
      <c r="O12" s="149">
        <f>O$21</f>
        <v>7000</v>
      </c>
      <c r="P12" s="149">
        <f>O$22</f>
        <v>0</v>
      </c>
      <c r="Q12" s="137"/>
      <c r="R12" s="233" t="s">
        <v>270</v>
      </c>
      <c r="S12" s="149">
        <f>S$26</f>
        <v>0</v>
      </c>
      <c r="T12" s="149">
        <f>S$27</f>
        <v>10000</v>
      </c>
      <c r="U12" s="129"/>
    </row>
    <row r="13" spans="1:21" ht="14.45" customHeight="1" x14ac:dyDescent="0.25">
      <c r="A13" s="134"/>
      <c r="B13" s="233" t="s">
        <v>140</v>
      </c>
      <c r="C13" s="149">
        <f>C$18*D$18</f>
        <v>20.8</v>
      </c>
      <c r="D13" s="247"/>
      <c r="E13" s="42"/>
      <c r="F13" s="233" t="s">
        <v>140</v>
      </c>
      <c r="G13" s="149">
        <f>ROUND(G$18*H$18,3)</f>
        <v>0</v>
      </c>
      <c r="H13" s="247"/>
      <c r="I13" s="42"/>
      <c r="J13" s="233" t="s">
        <v>140</v>
      </c>
      <c r="K13" s="149">
        <f>ROUND(K$18*L$18,3)</f>
        <v>439.6</v>
      </c>
      <c r="L13" s="247"/>
      <c r="M13" s="137"/>
      <c r="N13" s="233" t="s">
        <v>140</v>
      </c>
      <c r="O13" s="149" cm="1">
        <f t="array" ref="O13">ROUND(SUM(O$18:O$22*P$18:P$22),3)</f>
        <v>533.9</v>
      </c>
      <c r="P13" s="248"/>
      <c r="Q13" s="137"/>
      <c r="R13" s="233" t="s">
        <v>140</v>
      </c>
      <c r="S13" s="149" cm="1">
        <f t="array" ref="S13">ROUND(SUM(S$18:S$27*T$18:T$27),3)</f>
        <v>1090.8</v>
      </c>
      <c r="T13" s="248"/>
      <c r="U13" s="129"/>
    </row>
    <row r="14" spans="1:21" ht="7.15" customHeight="1" x14ac:dyDescent="0.25">
      <c r="A14" s="126"/>
      <c r="B14" s="177"/>
      <c r="C14" s="177"/>
      <c r="D14" s="177"/>
      <c r="E14" s="42"/>
      <c r="F14" s="246"/>
      <c r="G14" s="246"/>
      <c r="H14" s="246"/>
      <c r="I14" s="177"/>
      <c r="J14" s="130"/>
      <c r="K14" s="130"/>
      <c r="L14" s="130"/>
      <c r="M14" s="177"/>
      <c r="N14" s="131"/>
      <c r="O14" s="138"/>
      <c r="P14" s="138"/>
      <c r="Q14" s="130"/>
      <c r="R14" s="131"/>
      <c r="S14" s="138"/>
      <c r="T14" s="138"/>
      <c r="U14" s="132"/>
    </row>
    <row r="15" spans="1:21" ht="14.45" customHeight="1" x14ac:dyDescent="0.25">
      <c r="A15" s="126"/>
      <c r="B15" s="249"/>
      <c r="C15" s="21" t="s">
        <v>254</v>
      </c>
      <c r="D15" s="21" t="s">
        <v>139</v>
      </c>
      <c r="E15" s="42"/>
      <c r="F15" s="249"/>
      <c r="G15" s="21" t="s">
        <v>254</v>
      </c>
      <c r="H15" s="21" t="s">
        <v>139</v>
      </c>
      <c r="I15" s="42"/>
      <c r="J15" s="249"/>
      <c r="K15" s="21" t="s">
        <v>254</v>
      </c>
      <c r="L15" s="21" t="s">
        <v>139</v>
      </c>
      <c r="M15" s="42"/>
      <c r="N15" s="249"/>
      <c r="O15" s="21" t="s">
        <v>254</v>
      </c>
      <c r="P15" s="21" t="s">
        <v>139</v>
      </c>
      <c r="Q15" s="139"/>
      <c r="R15" s="249"/>
      <c r="S15" s="21" t="s">
        <v>254</v>
      </c>
      <c r="T15" s="21" t="s">
        <v>139</v>
      </c>
      <c r="U15" s="129"/>
    </row>
    <row r="16" spans="1:21" x14ac:dyDescent="0.25">
      <c r="A16" s="134"/>
      <c r="B16" s="250">
        <v>1</v>
      </c>
      <c r="C16" s="3" t="s">
        <v>34</v>
      </c>
      <c r="D16" s="3" t="s">
        <v>54</v>
      </c>
      <c r="E16" s="42"/>
      <c r="F16" s="250">
        <v>1</v>
      </c>
      <c r="G16" s="3" t="s">
        <v>34</v>
      </c>
      <c r="H16" s="3" t="s">
        <v>54</v>
      </c>
      <c r="I16" s="42"/>
      <c r="J16" s="250">
        <v>1</v>
      </c>
      <c r="K16" s="3" t="s">
        <v>34</v>
      </c>
      <c r="L16" s="3" t="s">
        <v>54</v>
      </c>
      <c r="M16" s="42"/>
      <c r="N16" s="250">
        <v>5</v>
      </c>
      <c r="O16" s="3" t="s">
        <v>34</v>
      </c>
      <c r="P16" s="3" t="s">
        <v>54</v>
      </c>
      <c r="Q16" s="137"/>
      <c r="R16" s="250">
        <v>10</v>
      </c>
      <c r="S16" s="3" t="s">
        <v>34</v>
      </c>
      <c r="T16" s="3" t="s">
        <v>54</v>
      </c>
      <c r="U16" s="129"/>
    </row>
    <row r="17" spans="1:21" x14ac:dyDescent="0.25">
      <c r="A17" s="134"/>
      <c r="B17" s="236">
        <f>$T$2</f>
        <v>-1</v>
      </c>
      <c r="C17" s="54">
        <v>500</v>
      </c>
      <c r="D17" s="251">
        <f>'Aktuelle Wirtschaftsdaten'!$D$34</f>
        <v>2.5000000000000001E-2</v>
      </c>
      <c r="E17" s="42"/>
      <c r="F17" s="236">
        <f>$T$2</f>
        <v>-1</v>
      </c>
      <c r="G17" s="160">
        <f>Bilanz!$I$15</f>
        <v>0</v>
      </c>
      <c r="H17" s="251">
        <f>'Aktuelle Wirtschaftsdaten'!$E$35+H7</f>
        <v>8.0399999999999999E-2</v>
      </c>
      <c r="I17" s="42"/>
      <c r="J17" s="236">
        <f>$T$2</f>
        <v>-1</v>
      </c>
      <c r="K17" s="54">
        <v>11000</v>
      </c>
      <c r="L17" s="251">
        <f>'Aktuelle Wirtschaftsdaten'!$E$36+L7</f>
        <v>3.04E-2</v>
      </c>
      <c r="M17" s="42"/>
      <c r="N17" s="236">
        <f>$T$2</f>
        <v>-1</v>
      </c>
      <c r="O17" s="54">
        <v>0</v>
      </c>
      <c r="P17" s="251">
        <f>'Aktuelle Wirtschaftsdaten'!$E$37+P7</f>
        <v>3.4500000000000003E-2</v>
      </c>
      <c r="Q17" s="137"/>
      <c r="R17" s="236">
        <f>$T$2</f>
        <v>-1</v>
      </c>
      <c r="S17" s="54">
        <v>7000</v>
      </c>
      <c r="T17" s="251">
        <f>'Aktuelle Wirtschaftsdaten'!$E$38+T7</f>
        <v>4.0600000000000004E-2</v>
      </c>
      <c r="U17" s="129"/>
    </row>
    <row r="18" spans="1:21" x14ac:dyDescent="0.25">
      <c r="A18" s="134"/>
      <c r="B18" s="236">
        <f>B17-1</f>
        <v>-2</v>
      </c>
      <c r="C18" s="54">
        <v>800</v>
      </c>
      <c r="D18" s="252">
        <v>2.5999999999999999E-2</v>
      </c>
      <c r="E18" s="137"/>
      <c r="F18" s="236">
        <f>F17-1</f>
        <v>-2</v>
      </c>
      <c r="G18" s="160">
        <f>Bilanz!$J$15</f>
        <v>0</v>
      </c>
      <c r="H18" s="252">
        <v>8.14E-2</v>
      </c>
      <c r="I18" s="42"/>
      <c r="J18" s="236">
        <f>J17-1</f>
        <v>-2</v>
      </c>
      <c r="K18" s="54">
        <v>14000</v>
      </c>
      <c r="L18" s="252">
        <v>3.1399999999999997E-2</v>
      </c>
      <c r="M18" s="42"/>
      <c r="N18" s="236">
        <f>N17-1</f>
        <v>-2</v>
      </c>
      <c r="O18" s="54">
        <v>8000</v>
      </c>
      <c r="P18" s="252">
        <v>3.5499999999999997E-2</v>
      </c>
      <c r="Q18" s="137"/>
      <c r="R18" s="236">
        <f>R17-1</f>
        <v>-2</v>
      </c>
      <c r="S18" s="54">
        <v>0</v>
      </c>
      <c r="T18" s="252">
        <v>4.1599999999999998E-2</v>
      </c>
      <c r="U18" s="129"/>
    </row>
    <row r="19" spans="1:21" x14ac:dyDescent="0.25">
      <c r="A19" s="134"/>
      <c r="B19" s="137"/>
      <c r="C19" s="137"/>
      <c r="D19" s="137"/>
      <c r="E19" s="246"/>
      <c r="F19" s="246"/>
      <c r="G19" s="246"/>
      <c r="H19" s="246"/>
      <c r="I19" s="137"/>
      <c r="J19" s="130"/>
      <c r="K19" s="130"/>
      <c r="L19" s="130"/>
      <c r="M19" s="137"/>
      <c r="N19" s="236">
        <f>N18-1</f>
        <v>-3</v>
      </c>
      <c r="O19" s="54">
        <v>0</v>
      </c>
      <c r="P19" s="252">
        <v>3.56E-2</v>
      </c>
      <c r="Q19" s="137"/>
      <c r="R19" s="236">
        <f>R18-1</f>
        <v>-3</v>
      </c>
      <c r="S19" s="54">
        <v>0</v>
      </c>
      <c r="T19" s="252">
        <v>4.1799999999999997E-2</v>
      </c>
      <c r="U19" s="129"/>
    </row>
    <row r="20" spans="1:21" x14ac:dyDescent="0.25">
      <c r="A20" s="134"/>
      <c r="B20" s="246"/>
      <c r="C20" s="246"/>
      <c r="D20" s="246"/>
      <c r="E20" s="42"/>
      <c r="F20" s="42"/>
      <c r="G20" s="42"/>
      <c r="H20" s="42"/>
      <c r="I20" s="246"/>
      <c r="J20" s="130"/>
      <c r="K20" s="130"/>
      <c r="L20" s="130"/>
      <c r="M20" s="246"/>
      <c r="N20" s="236">
        <f t="shared" ref="N20:R27" si="0">N19-1</f>
        <v>-4</v>
      </c>
      <c r="O20" s="54">
        <v>0</v>
      </c>
      <c r="P20" s="252">
        <v>3.6600000000000001E-2</v>
      </c>
      <c r="Q20" s="137"/>
      <c r="R20" s="236">
        <f t="shared" si="0"/>
        <v>-4</v>
      </c>
      <c r="S20" s="54">
        <v>8000</v>
      </c>
      <c r="T20" s="252">
        <v>4.2799999999999998E-2</v>
      </c>
      <c r="U20" s="129"/>
    </row>
    <row r="21" spans="1:21" x14ac:dyDescent="0.25">
      <c r="A21" s="134"/>
      <c r="B21" s="42"/>
      <c r="C21" s="42"/>
      <c r="D21" s="42"/>
      <c r="E21" s="42"/>
      <c r="F21" s="42"/>
      <c r="G21" s="42"/>
      <c r="H21" s="42"/>
      <c r="I21" s="42"/>
      <c r="J21" s="130"/>
      <c r="K21" s="130"/>
      <c r="L21" s="130"/>
      <c r="M21" s="42"/>
      <c r="N21" s="236">
        <f t="shared" si="0"/>
        <v>-5</v>
      </c>
      <c r="O21" s="54">
        <v>7000</v>
      </c>
      <c r="P21" s="252">
        <v>3.5700000000000003E-2</v>
      </c>
      <c r="Q21" s="137"/>
      <c r="R21" s="236">
        <f t="shared" si="0"/>
        <v>-5</v>
      </c>
      <c r="S21" s="54">
        <v>0</v>
      </c>
      <c r="T21" s="252">
        <v>4.19E-2</v>
      </c>
      <c r="U21" s="129"/>
    </row>
    <row r="22" spans="1:21" x14ac:dyDescent="0.25">
      <c r="A22" s="134"/>
      <c r="B22" s="42"/>
      <c r="C22" s="42"/>
      <c r="D22" s="42"/>
      <c r="E22" s="42"/>
      <c r="F22" s="42"/>
      <c r="G22" s="42"/>
      <c r="H22" s="42"/>
      <c r="I22" s="42"/>
      <c r="J22" s="130"/>
      <c r="K22" s="130"/>
      <c r="L22" s="130"/>
      <c r="M22" s="42"/>
      <c r="N22" s="236">
        <f t="shared" si="0"/>
        <v>-6</v>
      </c>
      <c r="O22" s="54">
        <v>0</v>
      </c>
      <c r="P22" s="252">
        <v>3.56E-2</v>
      </c>
      <c r="Q22" s="137"/>
      <c r="R22" s="236">
        <f t="shared" si="0"/>
        <v>-6</v>
      </c>
      <c r="S22" s="54">
        <v>0</v>
      </c>
      <c r="T22" s="252">
        <v>4.1799999999999997E-2</v>
      </c>
      <c r="U22" s="129"/>
    </row>
    <row r="23" spans="1:21" x14ac:dyDescent="0.25">
      <c r="A23" s="134"/>
      <c r="B23" s="42"/>
      <c r="C23" s="42"/>
      <c r="D23" s="42"/>
      <c r="E23" s="42"/>
      <c r="F23" s="42"/>
      <c r="G23" s="42"/>
      <c r="H23" s="42"/>
      <c r="I23" s="42"/>
      <c r="J23" s="130"/>
      <c r="K23" s="130"/>
      <c r="L23" s="130"/>
      <c r="M23" s="42"/>
      <c r="N23" s="131"/>
      <c r="O23" s="131"/>
      <c r="P23" s="131"/>
      <c r="Q23" s="137"/>
      <c r="R23" s="236">
        <f>R22-1</f>
        <v>-7</v>
      </c>
      <c r="S23" s="54">
        <v>0</v>
      </c>
      <c r="T23" s="252">
        <v>4.2799999999999998E-2</v>
      </c>
      <c r="U23" s="129"/>
    </row>
    <row r="24" spans="1:21" x14ac:dyDescent="0.25">
      <c r="A24" s="126"/>
      <c r="B24" s="42"/>
      <c r="C24" s="42"/>
      <c r="D24" s="42"/>
      <c r="E24" s="42"/>
      <c r="F24" s="42"/>
      <c r="G24" s="42"/>
      <c r="H24" s="42"/>
      <c r="I24" s="42"/>
      <c r="J24" s="130"/>
      <c r="K24" s="130"/>
      <c r="L24" s="130"/>
      <c r="M24" s="42"/>
      <c r="N24" s="131"/>
      <c r="O24" s="131"/>
      <c r="P24" s="131"/>
      <c r="Q24" s="169"/>
      <c r="R24" s="236">
        <f t="shared" si="0"/>
        <v>-8</v>
      </c>
      <c r="S24" s="54">
        <v>8000</v>
      </c>
      <c r="T24" s="252">
        <v>4.2799999999999998E-2</v>
      </c>
      <c r="U24" s="129"/>
    </row>
    <row r="25" spans="1:21" x14ac:dyDescent="0.25">
      <c r="A25" s="126"/>
      <c r="B25" s="139"/>
      <c r="C25" s="139"/>
      <c r="D25" s="139"/>
      <c r="E25" s="139"/>
      <c r="F25" s="130"/>
      <c r="G25" s="130"/>
      <c r="H25" s="130"/>
      <c r="I25" s="139"/>
      <c r="J25" s="130"/>
      <c r="K25" s="130"/>
      <c r="L25" s="130"/>
      <c r="M25" s="130"/>
      <c r="N25" s="130"/>
      <c r="O25" s="130"/>
      <c r="P25" s="130"/>
      <c r="Q25" s="169"/>
      <c r="R25" s="236">
        <f>R24-1</f>
        <v>-9</v>
      </c>
      <c r="S25" s="54">
        <v>0</v>
      </c>
      <c r="T25" s="252">
        <v>4.1700000000000001E-2</v>
      </c>
      <c r="U25" s="129"/>
    </row>
    <row r="26" spans="1:21" x14ac:dyDescent="0.25">
      <c r="A26" s="126"/>
      <c r="B26" s="139"/>
      <c r="C26" s="139"/>
      <c r="D26" s="139"/>
      <c r="E26" s="139"/>
      <c r="F26" s="130"/>
      <c r="G26" s="130"/>
      <c r="H26" s="130"/>
      <c r="I26" s="139"/>
      <c r="J26" s="130"/>
      <c r="K26" s="130"/>
      <c r="L26" s="130"/>
      <c r="M26" s="130"/>
      <c r="N26" s="130"/>
      <c r="O26" s="130"/>
      <c r="P26" s="130"/>
      <c r="Q26" s="169"/>
      <c r="R26" s="236">
        <f t="shared" si="0"/>
        <v>-10</v>
      </c>
      <c r="S26" s="54">
        <v>0</v>
      </c>
      <c r="T26" s="252">
        <v>4.1700000000000001E-2</v>
      </c>
      <c r="U26" s="129"/>
    </row>
    <row r="27" spans="1:21" x14ac:dyDescent="0.25">
      <c r="A27" s="126"/>
      <c r="B27" s="139"/>
      <c r="C27" s="139"/>
      <c r="D27" s="139"/>
      <c r="E27" s="139"/>
      <c r="F27" s="130"/>
      <c r="G27" s="130"/>
      <c r="H27" s="130"/>
      <c r="I27" s="139"/>
      <c r="J27" s="130"/>
      <c r="K27" s="130"/>
      <c r="L27" s="130"/>
      <c r="M27" s="130"/>
      <c r="N27" s="130"/>
      <c r="O27" s="130"/>
      <c r="P27" s="130"/>
      <c r="Q27" s="169"/>
      <c r="R27" s="236">
        <f t="shared" si="0"/>
        <v>-11</v>
      </c>
      <c r="S27" s="54">
        <v>10000</v>
      </c>
      <c r="T27" s="252">
        <v>4.0599999999999997E-2</v>
      </c>
      <c r="U27" s="129"/>
    </row>
    <row r="28" spans="1:21" ht="14.95" thickBot="1" x14ac:dyDescent="0.3">
      <c r="A28" s="143"/>
      <c r="B28" s="145"/>
      <c r="C28" s="145"/>
      <c r="D28" s="145"/>
      <c r="E28" s="145"/>
      <c r="F28" s="144"/>
      <c r="G28" s="144"/>
      <c r="H28" s="144"/>
      <c r="I28" s="145"/>
      <c r="J28" s="144"/>
      <c r="K28" s="144"/>
      <c r="L28" s="144"/>
      <c r="M28" s="144"/>
      <c r="N28" s="144"/>
      <c r="O28" s="145"/>
      <c r="P28" s="145"/>
      <c r="Q28" s="145"/>
      <c r="R28" s="144"/>
      <c r="S28" s="144"/>
      <c r="T28" s="144"/>
      <c r="U28" s="293" t="str">
        <f>'Aktuelle Wirtschaftsdaten'!$P$47</f>
        <v>MK_GMS_Pro 2.10</v>
      </c>
    </row>
  </sheetData>
  <mergeCells count="10">
    <mergeCell ref="B9:B10"/>
    <mergeCell ref="N9:N10"/>
    <mergeCell ref="R9:R10"/>
    <mergeCell ref="F9:F10"/>
    <mergeCell ref="J9:J10"/>
    <mergeCell ref="B5:B6"/>
    <mergeCell ref="F5:F6"/>
    <mergeCell ref="J5:J6"/>
    <mergeCell ref="N5:N6"/>
    <mergeCell ref="R5:R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Aktuelle Wirtschaftsdaten</vt:lpstr>
      <vt:lpstr>GuV</vt:lpstr>
      <vt:lpstr>Bilanz</vt:lpstr>
      <vt:lpstr>LiquiditätsRechnung</vt:lpstr>
      <vt:lpstr>ErlösRechnung</vt:lpstr>
      <vt:lpstr>KostenRechnung 1</vt:lpstr>
      <vt:lpstr>KostenRechnung 2</vt:lpstr>
      <vt:lpstr>ErgebnisRechnung</vt:lpstr>
      <vt:lpstr>Fertigung</vt:lpstr>
      <vt:lpstr>Personal</vt:lpstr>
      <vt:lpstr>Anlagevermögen</vt:lpstr>
      <vt:lpstr>Vorräte</vt:lpstr>
      <vt:lpstr>Finanzwerte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2024-02-15T20:01:00Z</dcterms:modified>
</cp:coreProperties>
</file>