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ork\SOLProjects\43802554 - SPT\DHI.SPT.DeployWebAPI\App_Data\"/>
    </mc:Choice>
  </mc:AlternateContent>
  <bookViews>
    <workbookView xWindow="0" yWindow="0" windowWidth="28800" windowHeight="12435"/>
  </bookViews>
  <sheets>
    <sheet name="SPT" sheetId="21" r:id="rId1"/>
    <sheet name="Calculations" sheetId="13" r:id="rId2"/>
    <sheet name="Input" sheetId="14" r:id="rId3"/>
    <sheet name="VesselDensity" sheetId="22" r:id="rId4"/>
    <sheet name="DriftGroundingRisk" sheetId="23" r:id="rId5"/>
    <sheet name="PoweredGroundingRIsk" sheetId="24" r:id="rId6"/>
    <sheet name="CollisionRisk" sheetId="25" r:id="rId7"/>
  </sheets>
  <definedNames>
    <definedName name="WayPoints">Calculations!$G$2:$H$36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21" l="1"/>
  <c r="E72" i="21"/>
  <c r="E71" i="21"/>
  <c r="E70" i="21"/>
  <c r="E69" i="21"/>
  <c r="E68" i="21"/>
  <c r="E67" i="21"/>
  <c r="E66" i="21"/>
  <c r="E65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7" i="21"/>
  <c r="E46" i="21"/>
  <c r="E45" i="21"/>
  <c r="E44" i="21"/>
  <c r="E43" i="21"/>
  <c r="E42" i="21"/>
  <c r="E41" i="21"/>
  <c r="E40" i="21"/>
  <c r="E39" i="21"/>
  <c r="A6" i="21" l="1"/>
  <c r="A5" i="21"/>
  <c r="A4" i="21"/>
  <c r="A3" i="21"/>
  <c r="A1" i="21"/>
  <c r="C2" i="13"/>
  <c r="B2" i="13" s="1"/>
  <c r="A2" i="21" s="1"/>
  <c r="I13" i="21" l="1"/>
  <c r="H13" i="21"/>
  <c r="G13" i="21"/>
  <c r="F13" i="21"/>
  <c r="E13" i="21"/>
  <c r="D13" i="21"/>
  <c r="C13" i="21"/>
  <c r="B13" i="21"/>
  <c r="I12" i="21"/>
  <c r="H12" i="21"/>
  <c r="G12" i="21"/>
  <c r="F12" i="21"/>
  <c r="E12" i="21"/>
  <c r="D12" i="21"/>
  <c r="C12" i="21"/>
  <c r="B12" i="21"/>
  <c r="C26" i="21"/>
  <c r="C25" i="21"/>
  <c r="I20" i="21"/>
  <c r="H20" i="21"/>
  <c r="G20" i="21"/>
  <c r="F20" i="21"/>
  <c r="E20" i="21"/>
  <c r="D20" i="21"/>
  <c r="C20" i="21"/>
  <c r="B20" i="21"/>
  <c r="I19" i="21"/>
  <c r="H19" i="21"/>
  <c r="G19" i="21"/>
  <c r="F19" i="21"/>
  <c r="E19" i="21"/>
  <c r="D19" i="21"/>
  <c r="C19" i="21"/>
  <c r="B19" i="21"/>
  <c r="I26" i="21"/>
  <c r="I25" i="21"/>
</calcChain>
</file>

<file path=xl/sharedStrings.xml><?xml version="1.0" encoding="utf-8"?>
<sst xmlns="http://schemas.openxmlformats.org/spreadsheetml/2006/main" count="170" uniqueCount="135">
  <si>
    <t>Derived Values</t>
  </si>
  <si>
    <t>End</t>
  </si>
  <si>
    <t>Name</t>
  </si>
  <si>
    <t>Total</t>
  </si>
  <si>
    <t>Scenario Density</t>
  </si>
  <si>
    <t>Passenger</t>
  </si>
  <si>
    <t>Tanker</t>
  </si>
  <si>
    <t>Unknown</t>
  </si>
  <si>
    <t>Other</t>
  </si>
  <si>
    <t>General Cargo</t>
  </si>
  <si>
    <t>Dry Bulk</t>
  </si>
  <si>
    <t>Container</t>
  </si>
  <si>
    <t>Baseline Density</t>
  </si>
  <si>
    <t>Vessel Density [nm]</t>
  </si>
  <si>
    <t>Drift Grounding Risk (TLVSS) [#/year]</t>
  </si>
  <si>
    <t>Powered Grounding Risk (TLVSS) [#/year]</t>
  </si>
  <si>
    <t>Baseline Risk</t>
  </si>
  <si>
    <t>Scenario Risk</t>
  </si>
  <si>
    <t>nm :  Nautical Miles</t>
  </si>
  <si>
    <t>Collision Risk (TLVSS) [#/year]</t>
  </si>
  <si>
    <t>Domain</t>
  </si>
  <si>
    <t>CreatedBy</t>
  </si>
  <si>
    <t>FutureScenarioYear</t>
  </si>
  <si>
    <t>BaselineYear</t>
  </si>
  <si>
    <t>ModifiedBy</t>
  </si>
  <si>
    <t>CollisionsPilotageFile</t>
  </si>
  <si>
    <t>CollisionsPilotageBaseline</t>
  </si>
  <si>
    <t>CollisionsVTSFile</t>
  </si>
  <si>
    <t>CollisionsVTSBaseline</t>
  </si>
  <si>
    <t>CollisionsShipRouteingFile</t>
  </si>
  <si>
    <t>CollisionsShipRouteingBaseline</t>
  </si>
  <si>
    <t>PoweredGroundingPilotageFile</t>
  </si>
  <si>
    <t>PoweredGroundingPilotageBaseline</t>
  </si>
  <si>
    <t>PoweredGroundingVTSFile</t>
  </si>
  <si>
    <t>PoweredGroundingVTSBaseline</t>
  </si>
  <si>
    <t>PoweredGroundingShipRouteingFile</t>
  </si>
  <si>
    <t>PoweredGroundingShipRouteingBaseline</t>
  </si>
  <si>
    <t>PoweredGroundingUKCMFile</t>
  </si>
  <si>
    <t>PoweredGroundingUKCMBaseline</t>
  </si>
  <si>
    <t>PoweredGroundingDGPSFile</t>
  </si>
  <si>
    <t>PoweredGroundingDGPSBaseline</t>
  </si>
  <si>
    <t>PoweredGroundingAtoNFile</t>
  </si>
  <si>
    <t>PoweredGroundingAtoNBaseline</t>
  </si>
  <si>
    <t>DriftGroundingETCFile</t>
  </si>
  <si>
    <t>DriftGroundingETCBaseline</t>
  </si>
  <si>
    <t>DriftGroundingAnchoringBaseline</t>
  </si>
  <si>
    <t>DriftGroundingSelfRepairFile</t>
  </si>
  <si>
    <t>DriftGroundingSelfRepairBaseline</t>
  </si>
  <si>
    <t>DriftGroundingAnchoringSpeed</t>
  </si>
  <si>
    <t>DriftGroundingAnchoringDepth</t>
  </si>
  <si>
    <t>Test Scenario</t>
  </si>
  <si>
    <t>Great Barrier Reef</t>
  </si>
  <si>
    <t>Admin</t>
  </si>
  <si>
    <t>RCOeffects_collisions_Pilotage_Mask.dfs2</t>
  </si>
  <si>
    <t>RCOeffects_collisions_VTS_Mask.dfs2</t>
  </si>
  <si>
    <t>RCOeffects_collisions_ShipRouteing_Mask.dfs2</t>
  </si>
  <si>
    <t>RCOeffects_powerground_VTS_Mask.dfs2</t>
  </si>
  <si>
    <t>RCOeffects_powerground_Pilotage_Mask.dfs2</t>
  </si>
  <si>
    <t>RCOeffects_powerground_ShipRouteing_Mask</t>
  </si>
  <si>
    <t>UKC_RCO.dfs2</t>
  </si>
  <si>
    <t>DGPS_RCO.dfs2</t>
  </si>
  <si>
    <t>AtoN_RCO.dfs2</t>
  </si>
  <si>
    <t>ETCTimeMap.dfs2</t>
  </si>
  <si>
    <t>DNV_SelfRepair_Corrected.csv</t>
  </si>
  <si>
    <t>ReportIssuedDate</t>
  </si>
  <si>
    <t>container</t>
  </si>
  <si>
    <t>dry bulk</t>
  </si>
  <si>
    <t>general cargo</t>
  </si>
  <si>
    <t>other</t>
  </si>
  <si>
    <t>passenger</t>
  </si>
  <si>
    <t>tanker</t>
  </si>
  <si>
    <t>unknown</t>
  </si>
  <si>
    <t>Basline Density</t>
  </si>
  <si>
    <t>Basline Risk</t>
  </si>
  <si>
    <t>Shared</t>
  </si>
  <si>
    <t>TLVSS : Probability of incident leading to total loss, very series and serious incident</t>
  </si>
  <si>
    <t>Baseline Year : Year at which baseline vessel traffic and incident risk is considered</t>
  </si>
  <si>
    <t>Future Scenario Year : Year to predict future traffic and incident risk</t>
  </si>
  <si>
    <t>Vessel Density : Nautical miles travelled per year</t>
  </si>
  <si>
    <t>Drift Grounding Risk : Number of drifting vessel groundings per year</t>
  </si>
  <si>
    <t>Powered Grounding Risk : Number of powered vessel groundings per year</t>
  </si>
  <si>
    <t>Collision Risk : Number of vessel collisions per year</t>
  </si>
  <si>
    <t>Traffic Modifiers</t>
  </si>
  <si>
    <t>Routes</t>
  </si>
  <si>
    <t>Collisions RCOs</t>
  </si>
  <si>
    <t>Powered Grounding RCOs</t>
  </si>
  <si>
    <t>Drift Grounding RCOs</t>
  </si>
  <si>
    <t>Read Only</t>
  </si>
  <si>
    <t>Notes:</t>
  </si>
  <si>
    <t>Scenario RCO Details:</t>
  </si>
  <si>
    <t>DriftGroundingAnchoringComments</t>
  </si>
  <si>
    <t>DriftGroundingSelfRepairComments</t>
  </si>
  <si>
    <t>PoweredGroundingAtoNComments</t>
  </si>
  <si>
    <t>PoweredGroundingDGPSComments</t>
  </si>
  <si>
    <t>PoweredGroundingUKCMComments</t>
  </si>
  <si>
    <t>PoweredGroundingShipRouteingComments</t>
  </si>
  <si>
    <t>PoweredGroundingVTSComments</t>
  </si>
  <si>
    <t>PoweredGroundingPilotageComments</t>
  </si>
  <si>
    <t>CollisionsShipRouteingComments</t>
  </si>
  <si>
    <t>CollisionsVTSComments</t>
  </si>
  <si>
    <t>CollisionsPilotageComments</t>
  </si>
  <si>
    <t xml:space="preserve">               Collisions Pilotage File:</t>
  </si>
  <si>
    <t xml:space="preserve">               Collisions Pilotage Baseline:</t>
  </si>
  <si>
    <t xml:space="preserve">               Collisions Pilotage Comments: </t>
  </si>
  <si>
    <t xml:space="preserve">               Collisions VTS File:</t>
  </si>
  <si>
    <t xml:space="preserve">               Collisions VTS Baseline:</t>
  </si>
  <si>
    <t xml:space="preserve">               Collisions VTS Comments: </t>
  </si>
  <si>
    <t xml:space="preserve">               Collisions Ship Routeing File:</t>
  </si>
  <si>
    <t xml:space="preserve">               Collisions Ship Routeing Baseline:</t>
  </si>
  <si>
    <t xml:space="preserve">               Collisions Ship Routeing Comments: </t>
  </si>
  <si>
    <t xml:space="preserve">               </t>
  </si>
  <si>
    <t xml:space="preserve">               Powered Grounding Pilotage File:</t>
  </si>
  <si>
    <t xml:space="preserve">               Powered Grounding Pilotage Baseline:</t>
  </si>
  <si>
    <t xml:space="preserve">               Powered Grounding Pilotage Comments: </t>
  </si>
  <si>
    <t xml:space="preserve">               Powered Grounding VTS File:</t>
  </si>
  <si>
    <t xml:space="preserve">               Powered Grounding VTS Baseline:</t>
  </si>
  <si>
    <t xml:space="preserve">               Powered Grounding VTS Comments: </t>
  </si>
  <si>
    <t xml:space="preserve">               Powered Grounding Ship Routeing File:</t>
  </si>
  <si>
    <t xml:space="preserve">               Powered Grounding Ship Routeing Baseline:</t>
  </si>
  <si>
    <t xml:space="preserve">               Powered Grounding Ship Routeing Comments: </t>
  </si>
  <si>
    <t xml:space="preserve">               Powered Grounding UKCM File:</t>
  </si>
  <si>
    <t xml:space="preserve">               Powered Grounding UKCM Baseline:</t>
  </si>
  <si>
    <t xml:space="preserve">               Powered Grounding UKCM Comments: </t>
  </si>
  <si>
    <t xml:space="preserve">               Powered Grounding Aids to Nav File:</t>
  </si>
  <si>
    <t xml:space="preserve">               Powered Grounding Aids to Nav Baseline:</t>
  </si>
  <si>
    <t xml:space="preserve">               Powered Grounding Aids to Nav Comments: </t>
  </si>
  <si>
    <t xml:space="preserve">               Drift Grounding ETC File:</t>
  </si>
  <si>
    <t xml:space="preserve">               Drift Grounding ETC Baseline:</t>
  </si>
  <si>
    <t xml:space="preserve">               Drift Grounding Anchoring Speed:</t>
  </si>
  <si>
    <t xml:space="preserve">               Drift Grounding Anchoring Depth:</t>
  </si>
  <si>
    <t xml:space="preserve">               Drift Grounding Anchoring Baseline:</t>
  </si>
  <si>
    <t xml:space="preserve">               Drift Grounding Anchoring Comments: </t>
  </si>
  <si>
    <t xml:space="preserve">               Drift Grounding Self Repair File:</t>
  </si>
  <si>
    <t xml:space="preserve">               Drift Grounding Self Repair Baseline:</t>
  </si>
  <si>
    <t xml:space="preserve">               Drift Grounding Self Repair Comments: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</si>
</sst>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dd\-mmm\-yy\ hh:mm"/>
    <numFmt numFmtId="166" formatCode="h:mm;@"/>
    <numFmt numFmtId="167" formatCode="m/d/yy\ h:mm;@"/>
    <numFmt numFmtId="168" formatCode="0.0"/>
    <numFmt numFmtId="169" formatCode="0.#"/>
    <numFmt numFmtId="170" formatCode="0.###############"/>
    <numFmt numFmtId="171" formatCode="dd/mm/yyyy\ h:mm:ss\ AM/PM"/>
    <numFmt numFmtId="172" formatCode="0.################"/>
    <numFmt numFmtId="173" formatCode="#.00"/>
    <numFmt numFmtId="174" formatCode="#.0"/>
    <numFmt numFmtId="175" formatCode="d/mm/yyyy\ h:mm:ss\ AM/PM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i/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7" tint="0.3999755851924192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3" fillId="0" borderId="0" xfId="0" applyFont="1"/>
    <xf numFmtId="169" fontId="0" fillId="0" borderId="0" xfId="0" applyNumberFormat="1"/>
    <xf numFmtId="167" fontId="0" fillId="0" borderId="0" xfId="0" applyNumberFormat="1" applyAlignment="1">
      <alignment horizontal="right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70" fontId="0" fillId="0" borderId="0" xfId="0" applyNumberFormat="1"/>
    <xf numFmtId="0" fontId="9" fillId="2" borderId="0" xfId="0" applyFont="1" applyFill="1" applyBorder="1"/>
    <xf numFmtId="174" fontId="0" fillId="0" borderId="0" xfId="0" applyNumberFormat="1"/>
    <xf numFmtId="173" fontId="0" fillId="0" borderId="0" xfId="0" applyNumberFormat="1"/>
    <xf numFmtId="172" fontId="0" fillId="0" borderId="0" xfId="0" applyNumberFormat="1"/>
    <xf numFmtId="175" fontId="0" fillId="0" borderId="0" xfId="0" applyNumberFormat="1"/>
    <xf numFmtId="171" fontId="0" fillId="0" borderId="0" xfId="0" applyNumberFormat="1"/>
    <xf numFmtId="0" fontId="4" fillId="2" borderId="0" xfId="0" applyFont="1" applyFill="1" applyBorder="1"/>
    <xf numFmtId="2" fontId="5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/>
    <xf numFmtId="168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3" fillId="0" borderId="0" xfId="0" applyFont="1" applyFill="1" applyBorder="1" applyAlignment="1"/>
    <xf numFmtId="168" fontId="5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168" fontId="11" fillId="0" borderId="0" xfId="0" applyNumberFormat="1" applyFont="1" applyFill="1" applyBorder="1" applyAlignment="1"/>
    <xf numFmtId="168" fontId="2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0" fillId="2" borderId="0" xfId="0" applyFill="1" applyBorder="1" applyAlignment="1"/>
    <xf numFmtId="49" fontId="2" fillId="2" borderId="0" xfId="0" applyNumberFormat="1" applyFont="1" applyFill="1" applyBorder="1" applyAlignment="1"/>
    <xf numFmtId="0" fontId="12" fillId="2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9" fillId="0" borderId="0" xfId="0" applyFont="1" applyFill="1" applyBorder="1"/>
    <xf numFmtId="0" fontId="12" fillId="2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0" borderId="3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3" fillId="2" borderId="0" xfId="0" applyFont="1" applyFill="1" applyBorder="1" applyAlignment="1"/>
    <xf numFmtId="0" fontId="13" fillId="2" borderId="0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6" fillId="0" borderId="0" xfId="0" applyFont="1" applyFill="1" applyBorder="1" applyAlignment="1"/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/>
    <xf numFmtId="0" fontId="12" fillId="0" borderId="4" xfId="0" applyFont="1" applyFill="1" applyBorder="1" applyAlignment="1">
      <alignment horizontal="right" vertical="center" wrapText="1"/>
    </xf>
    <xf numFmtId="0" fontId="12" fillId="0" borderId="4" xfId="0" applyFont="1" applyFill="1" applyBorder="1" applyAlignment="1">
      <alignment horizontal="center" vertical="center" wrapText="1"/>
    </xf>
    <xf numFmtId="14" fontId="0" fillId="0" borderId="0" xfId="0" applyNumberFormat="1"/>
    <xf numFmtId="0" fontId="3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/>
    </xf>
    <xf numFmtId="166" fontId="2" fillId="2" borderId="0" xfId="0" applyNumberFormat="1" applyFont="1" applyFill="1" applyBorder="1" applyAlignment="1">
      <alignment horizontal="left"/>
    </xf>
    <xf numFmtId="168" fontId="2" fillId="2" borderId="0" xfId="0" applyNumberFormat="1" applyFont="1" applyFill="1" applyBorder="1" applyAlignment="1">
      <alignment horizontal="left"/>
    </xf>
    <xf numFmtId="2" fontId="2" fillId="2" borderId="0" xfId="0" applyNumberFormat="1" applyFont="1" applyFill="1" applyBorder="1" applyAlignment="1">
      <alignment horizontal="left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142875</xdr:rowOff>
    </xdr:from>
    <xdr:to>
      <xdr:col>2</xdr:col>
      <xdr:colOff>663026</xdr:colOff>
      <xdr:row>5</xdr:row>
      <xdr:rowOff>57151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42875"/>
          <a:ext cx="2996651" cy="771526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2</xdr:row>
      <xdr:rowOff>28575</xdr:rowOff>
    </xdr:from>
    <xdr:to>
      <xdr:col>8</xdr:col>
      <xdr:colOff>282780</xdr:colOff>
      <xdr:row>4</xdr:row>
      <xdr:rowOff>184266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333375"/>
          <a:ext cx="901905" cy="508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topLeftCell="A25" zoomScaleNormal="100" zoomScaleSheetLayoutView="90" zoomScalePageLayoutView="130" workbookViewId="0">
      <selection activeCell="A38" sqref="A38"/>
    </sheetView>
  </sheetViews>
  <sheetFormatPr defaultColWidth="9.140625" defaultRowHeight="11.25" customHeight="1" x14ac:dyDescent="0.2"/>
  <cols>
    <col min="1" max="1" width="21.28515625" style="24" customWidth="1"/>
    <col min="2" max="2" width="14.7109375" style="24" customWidth="1"/>
    <col min="3" max="3" width="13.5703125" style="24" customWidth="1"/>
    <col min="4" max="4" width="19" style="24" customWidth="1"/>
    <col min="5" max="5" width="9.7109375" style="24" customWidth="1"/>
    <col min="6" max="6" width="17.28515625" style="24" customWidth="1"/>
    <col min="7" max="7" width="13" style="24" customWidth="1"/>
    <col min="8" max="8" width="13.42578125" style="24" customWidth="1"/>
    <col min="9" max="9" width="11.85546875" style="24" customWidth="1"/>
    <col min="10" max="10" width="6.7109375" style="24" customWidth="1"/>
    <col min="11" max="11" width="5.5703125" style="24" customWidth="1"/>
    <col min="12" max="26" width="5" style="24" customWidth="1"/>
    <col min="27" max="16384" width="9.140625" style="24"/>
  </cols>
  <sheetData>
    <row r="1" spans="1:26" ht="12" x14ac:dyDescent="0.2">
      <c r="A1" s="67" t="str">
        <f>"Scenario Name: "&amp;VLOOKUP("Name",Input!$A$1:$B$200,2,FALSE)</f>
        <v>Scenario Name: Test Scenario</v>
      </c>
      <c r="B1" s="67"/>
      <c r="C1" s="67"/>
      <c r="D1" s="67"/>
      <c r="E1" s="67"/>
      <c r="F1" s="67"/>
      <c r="G1" s="67"/>
      <c r="H1" s="67"/>
      <c r="I1" s="67"/>
      <c r="J1" s="25"/>
      <c r="K1" s="25"/>
      <c r="L1" s="25"/>
      <c r="M1" s="25"/>
      <c r="N1" s="25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2" x14ac:dyDescent="0.2">
      <c r="A2" s="68" t="str">
        <f>"Report Issued: "&amp;VLOOKUP("ReportIssuedDate",Calculations!$A$1:$B$200,2,FALSE)</f>
        <v>Report Issued: 12-April-18 11:57</v>
      </c>
      <c r="B2" s="68"/>
      <c r="C2" s="68"/>
      <c r="D2" s="68"/>
      <c r="E2" s="68"/>
      <c r="F2" s="68"/>
      <c r="G2" s="68"/>
      <c r="H2" s="68"/>
      <c r="I2" s="68"/>
      <c r="J2" s="51"/>
      <c r="K2" s="51"/>
      <c r="L2" s="51"/>
      <c r="M2" s="51"/>
      <c r="N2" s="51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2" x14ac:dyDescent="0.2">
      <c r="A3" s="67" t="str">
        <f>"Domain: "&amp;VLOOKUP("Domain",Input!$A$1:$B$200,2,FALSE)</f>
        <v>Domain: Great Barrier Reef</v>
      </c>
      <c r="B3" s="67"/>
      <c r="C3" s="67"/>
      <c r="D3" s="67"/>
      <c r="E3" s="67"/>
      <c r="F3" s="67"/>
      <c r="G3" s="67"/>
      <c r="H3" s="67"/>
      <c r="I3" s="67"/>
      <c r="J3" s="25"/>
      <c r="K3" s="25"/>
      <c r="L3" s="25"/>
      <c r="M3" s="25"/>
      <c r="N3" s="25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x14ac:dyDescent="0.25">
      <c r="A4" s="69" t="str">
        <f>"Baseline Year: "&amp;VLOOKUP("BaselineYear",Input!$A$1:$B$200,2,FALSE)</f>
        <v>Baseline Year: 2016</v>
      </c>
      <c r="B4" s="69"/>
      <c r="C4" s="69"/>
      <c r="D4" s="69"/>
      <c r="E4" s="69"/>
      <c r="F4" s="69"/>
      <c r="G4" s="69"/>
      <c r="H4" s="69"/>
      <c r="I4" s="69"/>
      <c r="J4" s="58"/>
      <c r="K4" s="58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5.75" x14ac:dyDescent="0.25">
      <c r="A5" s="69" t="str">
        <f>"Future Scenario Year: "&amp;VLOOKUP("FutureScenarioYear",Input!$A$1:$B$200,2,FALSE)</f>
        <v>Future Scenario Year: 2020</v>
      </c>
      <c r="B5" s="69"/>
      <c r="C5" s="69"/>
      <c r="D5" s="69"/>
      <c r="E5" s="69"/>
      <c r="F5" s="69"/>
      <c r="G5" s="69"/>
      <c r="H5" s="69"/>
      <c r="I5" s="69"/>
      <c r="J5" s="58"/>
      <c r="K5" s="58"/>
      <c r="L5" s="52"/>
      <c r="M5" s="52"/>
      <c r="N5" s="52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" x14ac:dyDescent="0.2">
      <c r="A6" s="67" t="str">
        <f>"Created By: "&amp;VLOOKUP("CreatedBy",Input!$A$1:$B$200,2,FALSE)</f>
        <v>Created By: Admin</v>
      </c>
      <c r="B6" s="67"/>
      <c r="C6" s="67"/>
      <c r="D6" s="67"/>
      <c r="E6" s="67"/>
      <c r="F6" s="67"/>
      <c r="G6" s="67"/>
      <c r="H6" s="67"/>
      <c r="I6" s="67"/>
      <c r="J6" s="25"/>
      <c r="K6" s="25"/>
      <c r="L6" s="25"/>
      <c r="M6" s="25"/>
      <c r="N6" s="25"/>
    </row>
    <row r="7" spans="1:26" ht="15" x14ac:dyDescent="0.25">
      <c r="A7" s="42"/>
      <c r="B7" s="43"/>
      <c r="C7" s="43"/>
      <c r="D7" s="43"/>
      <c r="E7" s="1"/>
      <c r="F7" s="42"/>
      <c r="G7" s="42"/>
      <c r="H7" s="42"/>
      <c r="I7" s="42"/>
      <c r="J7" s="32"/>
      <c r="K7" s="32"/>
      <c r="M7" s="32"/>
      <c r="N7" s="32"/>
      <c r="O7" s="32"/>
      <c r="P7" s="32"/>
      <c r="Q7" s="32"/>
      <c r="R7" s="32"/>
      <c r="T7" s="33"/>
      <c r="U7" s="34"/>
      <c r="V7" s="34"/>
      <c r="W7" s="34"/>
      <c r="X7" s="34"/>
      <c r="Y7" s="34"/>
      <c r="Z7" s="34"/>
    </row>
    <row r="8" spans="1:26" ht="15" x14ac:dyDescent="0.25">
      <c r="A8" s="1"/>
      <c r="B8" s="1"/>
      <c r="C8" s="8"/>
      <c r="D8" s="9"/>
      <c r="E8" s="1"/>
      <c r="F8" s="10"/>
      <c r="G8" s="11"/>
      <c r="H8" s="8"/>
      <c r="I8" s="8"/>
      <c r="J8" s="35"/>
      <c r="K8" s="35"/>
      <c r="M8" s="25"/>
      <c r="N8" s="25"/>
      <c r="O8" s="25"/>
      <c r="P8" s="25"/>
      <c r="Q8" s="25"/>
      <c r="R8" s="25"/>
      <c r="T8" s="36"/>
      <c r="U8" s="36"/>
      <c r="V8" s="36"/>
      <c r="W8" s="36"/>
      <c r="X8" s="36"/>
      <c r="Y8" s="36"/>
      <c r="Z8" s="36"/>
    </row>
    <row r="9" spans="1:26" ht="15.75" x14ac:dyDescent="0.25">
      <c r="A9" s="56" t="s">
        <v>13</v>
      </c>
      <c r="B9" s="55"/>
      <c r="C9" s="44"/>
      <c r="D9" s="43"/>
      <c r="E9" s="1"/>
      <c r="F9" s="10"/>
      <c r="G9" s="11"/>
      <c r="H9" s="8"/>
      <c r="I9" s="8"/>
      <c r="J9" s="37"/>
      <c r="K9" s="37"/>
      <c r="M9" s="25"/>
      <c r="N9" s="25"/>
      <c r="O9" s="36"/>
      <c r="P9" s="36"/>
      <c r="Q9" s="36"/>
      <c r="R9" s="36"/>
      <c r="T9" s="25"/>
      <c r="U9" s="25"/>
      <c r="V9" s="25"/>
      <c r="W9" s="38"/>
      <c r="X9" s="38"/>
      <c r="Y9" s="36"/>
      <c r="Z9" s="36"/>
    </row>
    <row r="10" spans="1:26" ht="15.75" x14ac:dyDescent="0.2">
      <c r="A10" s="1"/>
      <c r="B10" s="1"/>
      <c r="C10" s="1"/>
      <c r="D10" s="1"/>
      <c r="E10" s="1"/>
      <c r="F10" s="1"/>
      <c r="G10" s="1"/>
      <c r="H10" s="1"/>
      <c r="I10" s="1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25"/>
      <c r="V10" s="25"/>
      <c r="W10" s="38"/>
      <c r="X10" s="38"/>
      <c r="Y10" s="36"/>
      <c r="Z10" s="36"/>
    </row>
    <row r="11" spans="1:26" ht="15.75" x14ac:dyDescent="0.2">
      <c r="A11" s="1"/>
      <c r="B11" s="48" t="s">
        <v>11</v>
      </c>
      <c r="C11" s="48" t="s">
        <v>10</v>
      </c>
      <c r="D11" s="48" t="s">
        <v>9</v>
      </c>
      <c r="E11" s="48" t="s">
        <v>8</v>
      </c>
      <c r="F11" s="48" t="s">
        <v>5</v>
      </c>
      <c r="G11" s="48" t="s">
        <v>6</v>
      </c>
      <c r="H11" s="48" t="s">
        <v>7</v>
      </c>
      <c r="I11" s="48" t="s">
        <v>3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6" ht="15.75" x14ac:dyDescent="0.2">
      <c r="A12" s="64" t="s">
        <v>12</v>
      </c>
      <c r="B12" s="50">
        <f>VesselDensity!B2</f>
        <v>0</v>
      </c>
      <c r="C12" s="50">
        <f>VesselDensity!C2</f>
        <v>0</v>
      </c>
      <c r="D12" s="50">
        <f>VesselDensity!D2</f>
        <v>0</v>
      </c>
      <c r="E12" s="50">
        <f>VesselDensity!E2</f>
        <v>0</v>
      </c>
      <c r="F12" s="50">
        <f>VesselDensity!F2</f>
        <v>0</v>
      </c>
      <c r="G12" s="50">
        <f>VesselDensity!G2</f>
        <v>0</v>
      </c>
      <c r="H12" s="50">
        <f>VesselDensity!H2</f>
        <v>0</v>
      </c>
      <c r="I12" s="50">
        <f>VesselDensity!I2</f>
        <v>0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33"/>
      <c r="V12" s="33"/>
      <c r="W12" s="33"/>
      <c r="X12" s="33"/>
      <c r="Y12" s="33"/>
      <c r="Z12" s="33"/>
    </row>
    <row r="13" spans="1:26" ht="15.75" x14ac:dyDescent="0.2">
      <c r="A13" s="59" t="s">
        <v>4</v>
      </c>
      <c r="B13" s="63">
        <f>VesselDensity!B3</f>
        <v>0</v>
      </c>
      <c r="C13" s="63">
        <f>VesselDensity!C3</f>
        <v>0</v>
      </c>
      <c r="D13" s="63">
        <f>VesselDensity!D3</f>
        <v>0</v>
      </c>
      <c r="E13" s="63">
        <f>VesselDensity!E3</f>
        <v>0</v>
      </c>
      <c r="F13" s="63">
        <f>VesselDensity!F3</f>
        <v>0</v>
      </c>
      <c r="G13" s="63">
        <f>VesselDensity!G3</f>
        <v>0</v>
      </c>
      <c r="H13" s="63">
        <f>VesselDensity!H3</f>
        <v>0</v>
      </c>
      <c r="I13" s="63">
        <f>VesselDensity!I3</f>
        <v>0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36"/>
      <c r="V13" s="36"/>
      <c r="W13" s="36"/>
      <c r="X13" s="28"/>
      <c r="Y13" s="28"/>
      <c r="Z13" s="26"/>
    </row>
    <row r="14" spans="1:26" ht="15.75" x14ac:dyDescent="0.2">
      <c r="A14" s="8"/>
      <c r="B14" s="45"/>
      <c r="C14" s="45"/>
      <c r="D14" s="45"/>
      <c r="E14" s="45"/>
      <c r="F14" s="45"/>
      <c r="G14" s="45"/>
      <c r="H14" s="45"/>
      <c r="I14" s="45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36"/>
      <c r="V14" s="36"/>
      <c r="W14" s="36"/>
      <c r="X14" s="28"/>
      <c r="Y14" s="28"/>
      <c r="Z14" s="26"/>
    </row>
    <row r="15" spans="1:26" ht="15.75" x14ac:dyDescent="0.2">
      <c r="A15" s="8"/>
      <c r="B15" s="45"/>
      <c r="C15" s="45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36"/>
      <c r="V15" s="36"/>
      <c r="W15" s="36"/>
      <c r="X15" s="28"/>
      <c r="Y15" s="28"/>
      <c r="Z15" s="26"/>
    </row>
    <row r="16" spans="1:26" ht="15.75" x14ac:dyDescent="0.25">
      <c r="A16" s="56" t="s">
        <v>14</v>
      </c>
      <c r="B16" s="53"/>
      <c r="C16" s="44"/>
      <c r="D16" s="43"/>
      <c r="E16" s="1"/>
      <c r="F16" s="10"/>
      <c r="G16" s="11"/>
      <c r="H16" s="8"/>
      <c r="I16" s="8"/>
      <c r="J16" s="37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36"/>
      <c r="V16" s="36"/>
      <c r="W16" s="36"/>
      <c r="X16" s="28"/>
      <c r="Y16" s="28"/>
      <c r="Z16" s="26"/>
    </row>
    <row r="17" spans="1:26" ht="15.75" x14ac:dyDescent="0.2">
      <c r="A17" s="8"/>
      <c r="B17" s="1"/>
      <c r="C17" s="1"/>
      <c r="D17" s="1"/>
      <c r="E17" s="1"/>
      <c r="F17" s="1"/>
      <c r="G17" s="1"/>
      <c r="H17" s="1"/>
      <c r="I17" s="1"/>
      <c r="K17" s="46"/>
      <c r="L17" s="46"/>
      <c r="M17" s="46"/>
      <c r="N17" s="46"/>
      <c r="O17" s="46"/>
      <c r="P17" s="46"/>
      <c r="Q17" s="46"/>
      <c r="R17" s="27"/>
      <c r="S17" s="27"/>
      <c r="T17" s="46"/>
      <c r="U17" s="29"/>
      <c r="V17" s="29"/>
      <c r="W17" s="29"/>
      <c r="X17" s="28"/>
      <c r="Y17" s="28"/>
      <c r="Z17" s="26"/>
    </row>
    <row r="18" spans="1:26" ht="15.75" x14ac:dyDescent="0.2">
      <c r="A18" s="45"/>
      <c r="B18" s="48" t="s">
        <v>11</v>
      </c>
      <c r="C18" s="48" t="s">
        <v>10</v>
      </c>
      <c r="D18" s="48" t="s">
        <v>9</v>
      </c>
      <c r="E18" s="48" t="s">
        <v>8</v>
      </c>
      <c r="F18" s="48" t="s">
        <v>5</v>
      </c>
      <c r="G18" s="48" t="s">
        <v>6</v>
      </c>
      <c r="H18" s="48" t="s">
        <v>7</v>
      </c>
      <c r="I18" s="48" t="s">
        <v>3</v>
      </c>
      <c r="K18" s="46"/>
      <c r="L18" s="46"/>
      <c r="M18" s="46"/>
      <c r="N18" s="46"/>
      <c r="O18" s="46"/>
      <c r="P18" s="46"/>
      <c r="Q18" s="46"/>
      <c r="R18" s="39"/>
      <c r="S18" s="39"/>
      <c r="T18" s="46"/>
    </row>
    <row r="19" spans="1:26" ht="15.75" x14ac:dyDescent="0.2">
      <c r="A19" s="64" t="s">
        <v>12</v>
      </c>
      <c r="B19" s="50">
        <f>DriftGroundingRisk!B2</f>
        <v>0</v>
      </c>
      <c r="C19" s="50">
        <f>DriftGroundingRisk!C2</f>
        <v>0</v>
      </c>
      <c r="D19" s="50">
        <f>DriftGroundingRisk!D2</f>
        <v>0</v>
      </c>
      <c r="E19" s="50">
        <f>DriftGroundingRisk!E2</f>
        <v>0</v>
      </c>
      <c r="F19" s="50">
        <f>DriftGroundingRisk!F2</f>
        <v>0</v>
      </c>
      <c r="G19" s="50">
        <f>DriftGroundingRisk!G2</f>
        <v>0</v>
      </c>
      <c r="H19" s="50">
        <f>DriftGroundingRisk!H2</f>
        <v>0</v>
      </c>
      <c r="I19" s="50">
        <f>DriftGroundingRisk!I2</f>
        <v>0</v>
      </c>
      <c r="K19" s="46"/>
      <c r="L19" s="46"/>
      <c r="M19" s="46"/>
      <c r="N19" s="46"/>
      <c r="O19" s="46"/>
      <c r="P19" s="46"/>
      <c r="Q19" s="46"/>
      <c r="R19" s="27"/>
      <c r="S19" s="27"/>
      <c r="T19" s="46"/>
      <c r="U19" s="32"/>
      <c r="V19" s="32"/>
      <c r="W19" s="32"/>
      <c r="X19" s="32"/>
      <c r="Y19" s="32"/>
      <c r="Z19" s="32"/>
    </row>
    <row r="20" spans="1:26" ht="15.75" x14ac:dyDescent="0.25">
      <c r="A20" s="59" t="s">
        <v>4</v>
      </c>
      <c r="B20" s="63">
        <f>DriftGroundingRisk!B3</f>
        <v>0</v>
      </c>
      <c r="C20" s="63">
        <f>DriftGroundingRisk!C3</f>
        <v>0</v>
      </c>
      <c r="D20" s="63">
        <f>DriftGroundingRisk!D3</f>
        <v>0</v>
      </c>
      <c r="E20" s="63">
        <f>DriftGroundingRisk!E3</f>
        <v>0</v>
      </c>
      <c r="F20" s="63">
        <f>DriftGroundingRisk!F3</f>
        <v>0</v>
      </c>
      <c r="G20" s="63">
        <f>DriftGroundingRisk!G3</f>
        <v>0</v>
      </c>
      <c r="H20" s="63">
        <f>DriftGroundingRisk!H3</f>
        <v>0</v>
      </c>
      <c r="I20" s="63">
        <f>DriftGroundingRisk!I3</f>
        <v>0</v>
      </c>
      <c r="J20" s="46"/>
      <c r="K20" s="46"/>
      <c r="L20" s="46"/>
      <c r="M20" s="46"/>
      <c r="N20" s="46"/>
      <c r="O20" s="46"/>
      <c r="P20" s="46"/>
      <c r="Q20" s="46"/>
      <c r="R20" s="40"/>
      <c r="S20" s="40"/>
      <c r="T20" s="46"/>
      <c r="U20" s="30"/>
      <c r="V20" s="30"/>
      <c r="W20" s="30"/>
      <c r="X20" s="30"/>
      <c r="Y20" s="30"/>
      <c r="Z20" s="31"/>
    </row>
    <row r="21" spans="1:26" ht="15.75" x14ac:dyDescent="0.25">
      <c r="A21" s="19"/>
      <c r="B21" s="45"/>
      <c r="C21" s="45"/>
      <c r="D21" s="45"/>
      <c r="E21" s="45"/>
      <c r="F21" s="45"/>
      <c r="G21" s="45"/>
      <c r="H21" s="45"/>
      <c r="I21" s="45"/>
      <c r="J21" s="46"/>
      <c r="K21" s="46"/>
      <c r="L21" s="46"/>
      <c r="M21" s="46"/>
      <c r="N21" s="46"/>
      <c r="O21" s="46"/>
      <c r="P21" s="46"/>
      <c r="Q21" s="46"/>
      <c r="R21" s="41"/>
      <c r="S21" s="41"/>
      <c r="T21" s="46"/>
      <c r="U21" s="23"/>
      <c r="V21" s="23"/>
      <c r="W21" s="23"/>
      <c r="X21" s="23"/>
      <c r="Y21" s="23"/>
      <c r="Z21" s="20"/>
    </row>
    <row r="22" spans="1:26" ht="15.75" x14ac:dyDescent="0.25">
      <c r="A22" s="57" t="s">
        <v>15</v>
      </c>
      <c r="B22" s="54"/>
      <c r="C22" s="45"/>
      <c r="D22" s="45"/>
      <c r="E22" s="45"/>
      <c r="F22" s="1"/>
      <c r="G22" s="57" t="s">
        <v>19</v>
      </c>
      <c r="H22" s="49"/>
      <c r="I22" s="45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23"/>
      <c r="V22" s="23"/>
      <c r="W22" s="23"/>
      <c r="X22" s="23"/>
      <c r="Y22" s="23"/>
      <c r="Z22" s="20"/>
    </row>
    <row r="23" spans="1:26" ht="15.75" x14ac:dyDescent="0.2">
      <c r="A23" s="19"/>
      <c r="B23" s="1"/>
      <c r="C23" s="1"/>
      <c r="D23" s="1"/>
      <c r="E23" s="1"/>
      <c r="F23" s="1"/>
      <c r="G23" s="1"/>
      <c r="H23" s="1"/>
      <c r="I23" s="45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23"/>
      <c r="V23" s="23"/>
      <c r="W23" s="23"/>
      <c r="X23" s="23"/>
      <c r="Y23" s="23"/>
      <c r="Z23" s="20"/>
    </row>
    <row r="24" spans="1:26" ht="15.75" x14ac:dyDescent="0.2">
      <c r="A24" s="1"/>
      <c r="B24" s="45"/>
      <c r="C24" s="48" t="s">
        <v>3</v>
      </c>
      <c r="D24" s="45"/>
      <c r="E24" s="19"/>
      <c r="F24" s="1"/>
      <c r="G24" s="1"/>
      <c r="H24" s="45"/>
      <c r="I24" s="48" t="s">
        <v>3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23"/>
      <c r="V24" s="23"/>
      <c r="W24" s="23"/>
      <c r="X24" s="23"/>
      <c r="Y24" s="23"/>
      <c r="Z24" s="20"/>
    </row>
    <row r="25" spans="1:26" ht="15.75" x14ac:dyDescent="0.2">
      <c r="A25" s="70" t="s">
        <v>16</v>
      </c>
      <c r="B25" s="71"/>
      <c r="C25" s="50">
        <f>PoweredGroundingRIsk!B2</f>
        <v>0.71799999999999997</v>
      </c>
      <c r="D25" s="45"/>
      <c r="E25" s="19"/>
      <c r="F25" s="1"/>
      <c r="G25" s="70" t="s">
        <v>16</v>
      </c>
      <c r="H25" s="71"/>
      <c r="I25" s="50">
        <f>CollisionRisk!B2</f>
        <v>0.54200000000000004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23"/>
      <c r="V25" s="23"/>
      <c r="W25" s="23"/>
      <c r="X25" s="23"/>
      <c r="Y25" s="23"/>
      <c r="Z25" s="20"/>
    </row>
    <row r="26" spans="1:26" ht="15.75" x14ac:dyDescent="0.2">
      <c r="A26" s="72" t="s">
        <v>17</v>
      </c>
      <c r="B26" s="73"/>
      <c r="C26" s="63">
        <f>PoweredGroundingRIsk!B3</f>
        <v>0.77300000000000002</v>
      </c>
      <c r="D26" s="45"/>
      <c r="E26" s="19"/>
      <c r="F26" s="1"/>
      <c r="G26" s="72" t="s">
        <v>17</v>
      </c>
      <c r="H26" s="73"/>
      <c r="I26" s="63">
        <f>CollisionRisk!B3</f>
        <v>0.66900000000000004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23"/>
      <c r="V26" s="23"/>
      <c r="W26" s="23"/>
      <c r="X26" s="23"/>
      <c r="Y26" s="23"/>
      <c r="Z26" s="20"/>
    </row>
    <row r="27" spans="1:26" ht="15.75" x14ac:dyDescent="0.2">
      <c r="A27" s="1" t="s">
        <v>1</v>
      </c>
      <c r="B27" s="1"/>
      <c r="C27" s="1"/>
      <c r="D27" s="1"/>
      <c r="E27" s="1"/>
      <c r="F27" s="1"/>
      <c r="G27" s="1"/>
      <c r="H27" s="1"/>
      <c r="I27" s="45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23"/>
      <c r="V27" s="23"/>
      <c r="W27" s="23"/>
      <c r="X27" s="23"/>
      <c r="Y27" s="23"/>
      <c r="Z27" s="20"/>
    </row>
    <row r="28" spans="1:26" ht="15.75" x14ac:dyDescent="0.2">
      <c r="A28" s="1"/>
      <c r="B28" s="1"/>
      <c r="C28" s="1"/>
      <c r="D28" s="1"/>
      <c r="E28" s="1"/>
      <c r="F28" s="1"/>
      <c r="G28" s="1"/>
      <c r="H28" s="1"/>
      <c r="I28" s="1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23"/>
      <c r="V28" s="23"/>
      <c r="W28" s="23"/>
      <c r="X28" s="23"/>
      <c r="Y28" s="23"/>
      <c r="Z28" s="20"/>
    </row>
    <row r="29" spans="1:26" ht="15.75" x14ac:dyDescent="0.2">
      <c r="A29" s="1"/>
      <c r="B29" s="1"/>
      <c r="C29" s="1"/>
      <c r="D29" s="1"/>
      <c r="E29" s="1"/>
      <c r="F29" s="1"/>
      <c r="G29" s="1"/>
      <c r="H29" s="1"/>
      <c r="I29" s="1"/>
      <c r="K29" s="22"/>
      <c r="L29" s="46"/>
      <c r="M29" s="46"/>
      <c r="N29" s="46"/>
      <c r="O29" s="46"/>
      <c r="P29" s="46"/>
      <c r="Q29" s="46"/>
      <c r="R29" s="46"/>
      <c r="S29" s="46"/>
      <c r="T29" s="46"/>
      <c r="U29" s="23"/>
      <c r="V29" s="23"/>
      <c r="W29" s="23"/>
      <c r="X29" s="23"/>
      <c r="Y29" s="23"/>
      <c r="Z29" s="20"/>
    </row>
    <row r="30" spans="1:26" ht="15.75" x14ac:dyDescent="0.2">
      <c r="A30" s="1" t="s">
        <v>88</v>
      </c>
      <c r="B30" s="1"/>
      <c r="C30" s="1"/>
      <c r="D30" s="1"/>
      <c r="E30" s="1"/>
      <c r="F30" s="1"/>
      <c r="G30" s="1"/>
      <c r="H30" s="1"/>
      <c r="I30" s="1"/>
      <c r="K30" s="22"/>
      <c r="L30" s="46"/>
      <c r="M30" s="46"/>
      <c r="N30" s="46"/>
      <c r="O30" s="46"/>
      <c r="P30" s="46"/>
      <c r="Q30" s="46"/>
      <c r="R30" s="46"/>
      <c r="S30" s="46"/>
      <c r="T30" s="46"/>
      <c r="U30" s="23"/>
      <c r="V30" s="23"/>
      <c r="W30" s="23"/>
      <c r="X30" s="23"/>
      <c r="Y30" s="23"/>
      <c r="Z30" s="20"/>
    </row>
    <row r="31" spans="1:26" ht="15.75" x14ac:dyDescent="0.2">
      <c r="A31" s="13" t="s">
        <v>18</v>
      </c>
      <c r="B31" s="13"/>
      <c r="C31" s="13"/>
      <c r="D31" s="13"/>
      <c r="E31" s="13"/>
      <c r="F31" s="13" t="s">
        <v>78</v>
      </c>
      <c r="G31" s="13"/>
      <c r="H31" s="1"/>
      <c r="I31" s="1"/>
      <c r="J31" s="47"/>
      <c r="K31" s="22"/>
      <c r="L31" s="46"/>
      <c r="M31" s="46"/>
      <c r="N31" s="46"/>
      <c r="O31" s="46"/>
      <c r="P31" s="46"/>
      <c r="Q31" s="46"/>
      <c r="R31" s="46"/>
      <c r="S31" s="46"/>
      <c r="T31" s="46"/>
      <c r="U31" s="23"/>
      <c r="V31" s="23"/>
      <c r="W31" s="23"/>
      <c r="X31" s="23"/>
      <c r="Y31" s="23"/>
      <c r="Z31" s="20"/>
    </row>
    <row r="32" spans="1:26" ht="15.75" x14ac:dyDescent="0.2">
      <c r="A32" s="13" t="s">
        <v>75</v>
      </c>
      <c r="B32" s="13"/>
      <c r="C32" s="13"/>
      <c r="D32" s="13"/>
      <c r="E32" s="13"/>
      <c r="F32" s="13" t="s">
        <v>79</v>
      </c>
      <c r="G32" s="13"/>
      <c r="H32" s="1"/>
      <c r="I32" s="1"/>
      <c r="J32" s="47"/>
      <c r="K32" s="22"/>
      <c r="L32" s="46"/>
      <c r="M32" s="46"/>
      <c r="N32" s="46"/>
      <c r="O32" s="46"/>
      <c r="P32" s="46"/>
      <c r="Q32" s="46"/>
      <c r="R32" s="46"/>
      <c r="S32" s="46"/>
      <c r="T32" s="46"/>
      <c r="U32" s="23"/>
      <c r="V32" s="23"/>
      <c r="W32" s="23"/>
      <c r="X32" s="23"/>
      <c r="Y32" s="23"/>
      <c r="Z32" s="20"/>
    </row>
    <row r="33" spans="1:26" ht="15.75" x14ac:dyDescent="0.2">
      <c r="A33" s="13" t="s">
        <v>76</v>
      </c>
      <c r="B33" s="13"/>
      <c r="C33" s="13"/>
      <c r="D33" s="13"/>
      <c r="E33" s="13"/>
      <c r="F33" s="13" t="s">
        <v>80</v>
      </c>
      <c r="G33" s="13"/>
      <c r="H33" s="1"/>
      <c r="I33" s="1"/>
      <c r="J33" s="47"/>
      <c r="K33" s="22"/>
      <c r="L33" s="46"/>
      <c r="M33" s="46"/>
      <c r="N33" s="46"/>
      <c r="O33" s="46"/>
      <c r="P33" s="46"/>
      <c r="Q33" s="46"/>
      <c r="R33" s="46"/>
      <c r="S33" s="46"/>
      <c r="T33" s="46"/>
      <c r="U33" s="23"/>
      <c r="V33" s="23"/>
      <c r="W33" s="23"/>
      <c r="X33" s="23"/>
      <c r="Y33" s="23"/>
      <c r="Z33" s="20"/>
    </row>
    <row r="34" spans="1:26" ht="15" customHeight="1" x14ac:dyDescent="0.2">
      <c r="A34" s="13" t="s">
        <v>77</v>
      </c>
      <c r="B34" s="13"/>
      <c r="C34" s="13"/>
      <c r="D34" s="13"/>
      <c r="E34" s="13"/>
      <c r="F34" s="13" t="s">
        <v>81</v>
      </c>
      <c r="G34" s="13"/>
      <c r="H34" s="1"/>
      <c r="I34" s="1"/>
      <c r="J34" s="47"/>
      <c r="K34" s="22"/>
      <c r="L34" s="46"/>
      <c r="M34" s="46"/>
      <c r="N34" s="46"/>
      <c r="O34" s="46"/>
      <c r="P34" s="46"/>
      <c r="Q34" s="46"/>
      <c r="R34" s="46"/>
      <c r="S34" s="46"/>
      <c r="T34" s="46"/>
      <c r="U34" s="23"/>
      <c r="V34" s="23"/>
      <c r="W34" s="23"/>
      <c r="X34" s="23"/>
      <c r="Y34" s="23"/>
      <c r="Z34" s="20"/>
    </row>
    <row r="35" spans="1:26" ht="15" customHeight="1" x14ac:dyDescent="0.2">
      <c r="A35" s="1"/>
      <c r="B35" s="10"/>
      <c r="C35" s="10"/>
      <c r="D35" s="10"/>
      <c r="E35" s="1"/>
      <c r="F35" s="1"/>
      <c r="G35" s="1"/>
      <c r="H35" s="1"/>
      <c r="I35" s="1"/>
      <c r="J35" s="47"/>
      <c r="K35" s="22"/>
      <c r="L35" s="46"/>
      <c r="M35" s="46"/>
      <c r="N35" s="46"/>
      <c r="O35" s="46"/>
      <c r="P35" s="46"/>
      <c r="Q35" s="46"/>
      <c r="R35" s="46"/>
      <c r="S35" s="46"/>
      <c r="T35" s="46"/>
      <c r="U35" s="23"/>
      <c r="V35" s="23"/>
      <c r="W35" s="23"/>
      <c r="X35" s="23"/>
      <c r="Y35" s="23"/>
      <c r="Z35" s="20"/>
    </row>
    <row r="36" spans="1:26" ht="15" customHeight="1" x14ac:dyDescent="0.2">
      <c r="A36" s="1"/>
      <c r="B36" s="10"/>
      <c r="C36" s="10"/>
      <c r="D36" s="10"/>
      <c r="E36" s="1"/>
      <c r="F36" s="1"/>
      <c r="G36" s="1"/>
      <c r="H36" s="13"/>
      <c r="I36" s="13"/>
      <c r="J36" s="47"/>
      <c r="K36" s="22"/>
      <c r="L36" s="22"/>
      <c r="M36" s="23"/>
      <c r="N36" s="23"/>
      <c r="O36" s="23"/>
      <c r="P36" s="23"/>
      <c r="Q36" s="23"/>
      <c r="R36" s="23"/>
      <c r="S36" s="21"/>
      <c r="T36" s="22"/>
      <c r="U36" s="23"/>
      <c r="V36" s="23"/>
      <c r="W36" s="23"/>
      <c r="X36" s="23"/>
      <c r="Y36" s="23"/>
      <c r="Z36" s="20"/>
    </row>
    <row r="37" spans="1:26" ht="15" customHeight="1" x14ac:dyDescent="0.25">
      <c r="A37" s="66" t="s">
        <v>89</v>
      </c>
      <c r="B37" s="10"/>
      <c r="C37" s="10"/>
      <c r="D37" s="10"/>
      <c r="E37" s="1"/>
      <c r="F37" s="1"/>
      <c r="G37" s="1"/>
      <c r="H37" s="13"/>
      <c r="I37" s="13"/>
      <c r="J37" s="47"/>
      <c r="K37" s="22"/>
      <c r="L37" s="22"/>
      <c r="M37" s="23"/>
      <c r="N37" s="23"/>
      <c r="O37" s="23"/>
      <c r="P37" s="23"/>
      <c r="Q37" s="23"/>
      <c r="R37" s="23"/>
      <c r="S37" s="21"/>
      <c r="T37" s="22"/>
      <c r="U37" s="23"/>
      <c r="V37" s="23"/>
      <c r="W37" s="23"/>
      <c r="X37" s="23"/>
      <c r="Y37" s="23"/>
      <c r="Z37" s="20"/>
    </row>
    <row r="38" spans="1:26" ht="12.95" customHeight="1" x14ac:dyDescent="0.2">
      <c r="A38" s="1"/>
      <c r="B38" s="1"/>
      <c r="C38" s="1"/>
      <c r="D38" s="1"/>
      <c r="E38" s="1"/>
      <c r="F38" s="10"/>
      <c r="G38" s="10"/>
      <c r="H38" s="74"/>
      <c r="I38" s="74"/>
      <c r="J38" s="47"/>
      <c r="K38" s="22"/>
      <c r="L38" s="22"/>
      <c r="M38" s="23"/>
      <c r="N38" s="23"/>
      <c r="O38" s="23"/>
      <c r="P38" s="23"/>
      <c r="Q38" s="23"/>
      <c r="R38" s="23"/>
      <c r="S38" s="21"/>
      <c r="T38" s="22"/>
      <c r="U38" s="23"/>
      <c r="V38" s="23"/>
      <c r="W38" s="23"/>
      <c r="X38" s="23"/>
      <c r="Y38" s="23"/>
      <c r="Z38" s="20"/>
    </row>
    <row r="39" spans="1:26" ht="14.1" customHeight="1" x14ac:dyDescent="0.2">
      <c r="A39" s="10" t="s">
        <v>101</v>
      </c>
      <c r="B39" s="1"/>
      <c r="C39" s="10"/>
      <c r="D39" s="10"/>
      <c r="E39" s="10" t="str">
        <f>VLOOKUP("CollisionsPilotageFile",Input!$A$1:$B$200,2,FALSE)</f>
        <v>RCOeffects_collisions_Pilotage_Mask.dfs2</v>
      </c>
      <c r="F39" s="74"/>
      <c r="G39" s="74"/>
      <c r="H39" s="74"/>
      <c r="I39" s="74"/>
      <c r="J39" s="47"/>
      <c r="K39" s="22"/>
      <c r="L39" s="22"/>
      <c r="M39" s="23"/>
      <c r="N39" s="23"/>
      <c r="O39" s="23"/>
      <c r="P39" s="23"/>
      <c r="Q39" s="23"/>
      <c r="R39" s="23"/>
      <c r="S39" s="21"/>
      <c r="T39" s="22"/>
      <c r="U39" s="23"/>
      <c r="V39" s="23"/>
      <c r="W39" s="23"/>
      <c r="X39" s="23"/>
      <c r="Y39" s="23"/>
      <c r="Z39" s="20"/>
    </row>
    <row r="40" spans="1:26" ht="14.1" customHeight="1" x14ac:dyDescent="0.2">
      <c r="A40" s="10" t="s">
        <v>102</v>
      </c>
      <c r="B40" s="1"/>
      <c r="C40" s="10"/>
      <c r="D40" s="10"/>
      <c r="E40" s="10" t="b">
        <f>VLOOKUP("CollisionsPilotageBaseline",Input!$A$1:$B$200,2,FALSE)</f>
        <v>1</v>
      </c>
      <c r="F40" s="74"/>
      <c r="G40" s="74"/>
      <c r="H40" s="74"/>
      <c r="I40" s="74"/>
      <c r="J40" s="47"/>
      <c r="K40" s="22"/>
      <c r="L40" s="22"/>
      <c r="M40" s="23"/>
      <c r="N40" s="23"/>
      <c r="O40" s="23"/>
      <c r="P40" s="23"/>
      <c r="Q40" s="23"/>
      <c r="R40" s="23"/>
      <c r="S40" s="21"/>
      <c r="T40" s="22"/>
      <c r="U40" s="23"/>
      <c r="V40" s="23"/>
      <c r="W40" s="23"/>
      <c r="X40" s="23"/>
      <c r="Y40" s="23"/>
      <c r="Z40" s="20"/>
    </row>
    <row r="41" spans="1:26" ht="14.1" customHeight="1" x14ac:dyDescent="0.2">
      <c r="A41" s="10" t="s">
        <v>103</v>
      </c>
      <c r="B41" s="1"/>
      <c r="C41" s="10"/>
      <c r="D41" s="10"/>
      <c r="E41" s="10" t="str">
        <f>VLOOKUP("CollisionsPilotageComments",Input!$A$1:$B$200,2,FALSE)</f>
        <v>Test Scenario</v>
      </c>
      <c r="F41" s="10"/>
      <c r="G41" s="10"/>
      <c r="H41" s="10"/>
      <c r="I41" s="10"/>
      <c r="L41" s="22"/>
      <c r="M41" s="23"/>
      <c r="N41" s="23"/>
      <c r="O41" s="23"/>
      <c r="P41" s="23"/>
      <c r="Q41" s="23"/>
      <c r="R41" s="23"/>
      <c r="S41" s="21"/>
      <c r="T41" s="22"/>
      <c r="U41" s="23"/>
      <c r="V41" s="23"/>
      <c r="W41" s="23"/>
      <c r="X41" s="23"/>
      <c r="Y41" s="23"/>
      <c r="Z41" s="20"/>
    </row>
    <row r="42" spans="1:26" ht="14.1" customHeight="1" x14ac:dyDescent="0.2">
      <c r="A42" s="10" t="s">
        <v>104</v>
      </c>
      <c r="B42" s="1"/>
      <c r="C42" s="10"/>
      <c r="D42" s="10"/>
      <c r="E42" s="10" t="str">
        <f>VLOOKUP("CollisionsVTSFile",Input!$A$1:$B$200,2,FALSE)</f>
        <v>RCOeffects_collisions_VTS_Mask.dfs2</v>
      </c>
      <c r="F42" s="10"/>
      <c r="G42" s="10"/>
      <c r="H42" s="10"/>
      <c r="I42" s="10"/>
      <c r="L42" s="22"/>
      <c r="M42" s="23"/>
      <c r="N42" s="23"/>
      <c r="O42" s="23"/>
      <c r="P42" s="23"/>
      <c r="Q42" s="23"/>
      <c r="R42" s="23"/>
      <c r="S42" s="21"/>
      <c r="T42" s="22"/>
      <c r="U42" s="23"/>
      <c r="V42" s="23"/>
      <c r="W42" s="23"/>
      <c r="X42" s="23"/>
      <c r="Y42" s="23"/>
      <c r="Z42" s="20"/>
    </row>
    <row r="43" spans="1:26" ht="14.1" customHeight="1" x14ac:dyDescent="0.2">
      <c r="A43" s="10" t="s">
        <v>105</v>
      </c>
      <c r="B43" s="1"/>
      <c r="C43" s="10"/>
      <c r="D43" s="10"/>
      <c r="E43" s="10" t="b">
        <f>VLOOKUP("CollisionsVTSBaseline",Input!$A$1:$B$200,2,FALSE)</f>
        <v>1</v>
      </c>
      <c r="F43" s="10"/>
      <c r="G43" s="10"/>
      <c r="H43" s="10"/>
      <c r="I43" s="10"/>
      <c r="L43" s="22"/>
      <c r="M43" s="23"/>
      <c r="N43" s="23"/>
      <c r="O43" s="23"/>
      <c r="P43" s="23"/>
      <c r="Q43" s="23"/>
      <c r="R43" s="23"/>
      <c r="S43" s="21"/>
      <c r="T43" s="22"/>
      <c r="U43" s="23"/>
      <c r="V43" s="23"/>
      <c r="W43" s="23"/>
      <c r="X43" s="23"/>
      <c r="Y43" s="23"/>
      <c r="Z43" s="20"/>
    </row>
    <row r="44" spans="1:26" ht="14.1" customHeight="1" x14ac:dyDescent="0.2">
      <c r="A44" s="10" t="s">
        <v>106</v>
      </c>
      <c r="B44" s="1"/>
      <c r="C44" s="10"/>
      <c r="D44" s="10"/>
      <c r="E44" s="10">
        <f>VLOOKUP("CollisionsVTSComments",Input!$A$1:$B$200,2,FALSE)</f>
        <v>0</v>
      </c>
      <c r="F44" s="10"/>
      <c r="G44" s="10"/>
      <c r="H44" s="10"/>
      <c r="I44" s="10"/>
      <c r="L44" s="22"/>
      <c r="M44" s="23"/>
      <c r="N44" s="23"/>
      <c r="O44" s="23"/>
      <c r="P44" s="23"/>
      <c r="Q44" s="23"/>
      <c r="R44" s="23"/>
      <c r="S44" s="21"/>
      <c r="T44" s="22"/>
      <c r="U44" s="23"/>
      <c r="V44" s="23"/>
      <c r="W44" s="23"/>
      <c r="X44" s="23"/>
      <c r="Y44" s="23"/>
      <c r="Z44" s="20"/>
    </row>
    <row r="45" spans="1:26" ht="14.1" customHeight="1" x14ac:dyDescent="0.2">
      <c r="A45" s="10" t="s">
        <v>107</v>
      </c>
      <c r="B45" s="1"/>
      <c r="C45" s="10"/>
      <c r="D45" s="10"/>
      <c r="E45" s="10" t="str">
        <f>VLOOKUP("CollisionsShipRouteingFile",Input!$A$1:$B$200,2,FALSE)</f>
        <v>RCOeffects_collisions_ShipRouteing_Mask.dfs2</v>
      </c>
      <c r="F45" s="10"/>
      <c r="G45" s="10"/>
      <c r="H45" s="10"/>
      <c r="I45" s="10"/>
      <c r="L45" s="22"/>
      <c r="M45" s="23"/>
      <c r="N45" s="23"/>
      <c r="O45" s="23"/>
      <c r="P45" s="23"/>
      <c r="Q45" s="23"/>
      <c r="R45" s="23"/>
      <c r="S45" s="21"/>
      <c r="T45" s="22"/>
      <c r="U45" s="23"/>
      <c r="V45" s="23"/>
      <c r="W45" s="23"/>
      <c r="X45" s="23"/>
      <c r="Y45" s="23"/>
      <c r="Z45" s="20"/>
    </row>
    <row r="46" spans="1:26" ht="14.1" customHeight="1" x14ac:dyDescent="0.2">
      <c r="A46" s="10" t="s">
        <v>108</v>
      </c>
      <c r="B46" s="1"/>
      <c r="C46" s="10"/>
      <c r="D46" s="10"/>
      <c r="E46" s="10" t="b">
        <f>VLOOKUP("CollisionsShipRouteingBaseline",Input!$A$1:$B$200,2,FALSE)</f>
        <v>1</v>
      </c>
      <c r="F46" s="10"/>
      <c r="G46" s="10"/>
      <c r="H46" s="10"/>
      <c r="I46" s="10"/>
      <c r="L46" s="22"/>
      <c r="M46" s="23"/>
      <c r="N46" s="23"/>
      <c r="O46" s="23"/>
      <c r="P46" s="23"/>
      <c r="Q46" s="23"/>
      <c r="R46" s="23"/>
      <c r="S46" s="21"/>
      <c r="T46" s="22"/>
      <c r="U46" s="23"/>
      <c r="V46" s="23"/>
      <c r="W46" s="23"/>
      <c r="X46" s="23"/>
      <c r="Y46" s="23"/>
      <c r="Z46" s="20"/>
    </row>
    <row r="47" spans="1:26" ht="14.1" customHeight="1" x14ac:dyDescent="0.2">
      <c r="A47" s="10" t="s">
        <v>109</v>
      </c>
      <c r="B47" s="1"/>
      <c r="C47" s="10"/>
      <c r="D47" s="10"/>
      <c r="E47" s="10">
        <f>VLOOKUP("CollisionsShipRouteingComments",Input!$A$1:$B$200,2,FALSE)</f>
        <v>0</v>
      </c>
      <c r="F47" s="10"/>
      <c r="G47" s="10"/>
      <c r="H47" s="10"/>
      <c r="I47" s="10"/>
      <c r="L47" s="22"/>
      <c r="M47" s="23"/>
      <c r="N47" s="23"/>
      <c r="O47" s="23"/>
      <c r="P47" s="23"/>
      <c r="Q47" s="23"/>
      <c r="R47" s="23"/>
      <c r="S47" s="21"/>
      <c r="T47" s="22"/>
      <c r="U47" s="23"/>
      <c r="V47" s="23"/>
      <c r="W47" s="23"/>
      <c r="X47" s="23"/>
      <c r="Y47" s="23"/>
      <c r="Z47" s="20"/>
    </row>
    <row r="48" spans="1:26" ht="14.1" customHeight="1" x14ac:dyDescent="0.2">
      <c r="A48" s="10" t="s">
        <v>110</v>
      </c>
      <c r="B48" s="1"/>
      <c r="C48" s="10"/>
      <c r="D48" s="10"/>
      <c r="E48" s="10"/>
      <c r="F48" s="10"/>
      <c r="G48" s="10"/>
      <c r="H48" s="10"/>
      <c r="I48" s="10"/>
      <c r="L48" s="22"/>
      <c r="M48" s="23"/>
      <c r="N48" s="23"/>
      <c r="O48" s="23"/>
      <c r="P48" s="23"/>
      <c r="Q48" s="23"/>
      <c r="R48" s="23"/>
      <c r="S48" s="21"/>
      <c r="T48" s="22"/>
      <c r="U48" s="23"/>
      <c r="V48" s="23"/>
      <c r="W48" s="23"/>
      <c r="X48" s="23"/>
      <c r="Y48" s="23"/>
      <c r="Z48" s="20"/>
    </row>
    <row r="49" spans="1:26" ht="14.1" customHeight="1" x14ac:dyDescent="0.2">
      <c r="A49" s="10" t="s">
        <v>111</v>
      </c>
      <c r="B49" s="1"/>
      <c r="C49" s="10"/>
      <c r="D49" s="10"/>
      <c r="E49" s="10" t="str">
        <f>VLOOKUP("PoweredGroundingPilotageFile",Input!$A$1:$B$200,2,FALSE)</f>
        <v>RCOeffects_powerground_Pilotage_Mask.dfs2</v>
      </c>
      <c r="F49" s="10"/>
      <c r="G49" s="10"/>
      <c r="H49" s="10"/>
      <c r="I49" s="10"/>
      <c r="L49" s="22"/>
      <c r="M49" s="23"/>
      <c r="N49" s="23"/>
      <c r="O49" s="23"/>
      <c r="P49" s="23"/>
      <c r="Q49" s="23"/>
      <c r="R49" s="23"/>
      <c r="S49" s="21"/>
      <c r="T49" s="22"/>
      <c r="U49" s="23"/>
      <c r="V49" s="23"/>
      <c r="W49" s="23"/>
      <c r="X49" s="23"/>
      <c r="Y49" s="23"/>
      <c r="Z49" s="20"/>
    </row>
    <row r="50" spans="1:26" ht="14.1" customHeight="1" x14ac:dyDescent="0.2">
      <c r="A50" s="10" t="s">
        <v>112</v>
      </c>
      <c r="B50" s="1"/>
      <c r="C50" s="10"/>
      <c r="D50" s="10"/>
      <c r="E50" s="10" t="b">
        <f>VLOOKUP("PoweredGroundingPilotageBaseline",Input!$A$1:$B$200,2,FALSE)</f>
        <v>1</v>
      </c>
      <c r="F50" s="77"/>
      <c r="G50" s="77"/>
      <c r="H50" s="77"/>
      <c r="I50" s="77"/>
      <c r="J50" s="21"/>
      <c r="K50" s="22"/>
      <c r="L50" s="22"/>
      <c r="M50" s="23"/>
      <c r="N50" s="23"/>
      <c r="O50" s="23"/>
      <c r="P50" s="23"/>
      <c r="Q50" s="23"/>
      <c r="R50" s="23"/>
      <c r="S50" s="21"/>
      <c r="T50" s="22"/>
      <c r="U50" s="23"/>
      <c r="V50" s="23"/>
      <c r="W50" s="23"/>
      <c r="X50" s="23"/>
      <c r="Y50" s="23"/>
      <c r="Z50" s="20"/>
    </row>
    <row r="51" spans="1:26" ht="14.1" customHeight="1" x14ac:dyDescent="0.2">
      <c r="A51" s="10" t="s">
        <v>113</v>
      </c>
      <c r="B51" s="1"/>
      <c r="C51" s="75"/>
      <c r="D51" s="76"/>
      <c r="E51" s="10">
        <f>VLOOKUP("PoweredGroundingPilotageComments",Input!$A$1:$B$200,2,FALSE)</f>
        <v>0</v>
      </c>
      <c r="F51" s="77"/>
      <c r="G51" s="77"/>
      <c r="H51" s="77"/>
      <c r="I51" s="77"/>
      <c r="J51" s="21"/>
      <c r="K51" s="22"/>
      <c r="L51" s="22"/>
      <c r="M51" s="23"/>
      <c r="N51" s="23"/>
      <c r="O51" s="23"/>
      <c r="P51" s="23"/>
      <c r="Q51" s="23"/>
      <c r="R51" s="23"/>
      <c r="S51" s="21"/>
      <c r="T51" s="22"/>
      <c r="U51" s="23"/>
      <c r="V51" s="23"/>
      <c r="W51" s="23"/>
      <c r="X51" s="23"/>
      <c r="Y51" s="23"/>
      <c r="Z51" s="20"/>
    </row>
    <row r="52" spans="1:26" ht="14.1" customHeight="1" x14ac:dyDescent="0.2">
      <c r="A52" s="10" t="s">
        <v>114</v>
      </c>
      <c r="B52" s="1"/>
      <c r="C52" s="75"/>
      <c r="D52" s="76"/>
      <c r="E52" s="10" t="str">
        <f>VLOOKUP("PoweredGroundingVTSFile",Input!$A$1:$B$200,2,FALSE)</f>
        <v>RCOeffects_powerground_VTS_Mask.dfs2</v>
      </c>
      <c r="F52" s="77"/>
      <c r="G52" s="77"/>
      <c r="H52" s="77"/>
      <c r="I52" s="77"/>
      <c r="J52" s="21"/>
      <c r="K52" s="22"/>
      <c r="L52" s="22"/>
      <c r="M52" s="23"/>
      <c r="N52" s="23"/>
      <c r="O52" s="23"/>
      <c r="P52" s="23"/>
      <c r="Q52" s="23"/>
      <c r="R52" s="23"/>
      <c r="S52" s="21"/>
      <c r="T52" s="22"/>
      <c r="U52" s="23"/>
      <c r="V52" s="23"/>
      <c r="W52" s="23"/>
      <c r="X52" s="23"/>
      <c r="Y52" s="23"/>
      <c r="Z52" s="20"/>
    </row>
    <row r="53" spans="1:26" ht="14.1" customHeight="1" x14ac:dyDescent="0.2">
      <c r="A53" s="10" t="s">
        <v>115</v>
      </c>
      <c r="B53" s="1"/>
      <c r="C53" s="75"/>
      <c r="D53" s="76"/>
      <c r="E53" s="10" t="b">
        <f>VLOOKUP("PoweredGroundingVTSBaseline",Input!$A$1:$B$200,2,FALSE)</f>
        <v>1</v>
      </c>
      <c r="F53" s="77"/>
      <c r="G53" s="77"/>
      <c r="H53" s="77"/>
      <c r="I53" s="77"/>
      <c r="J53" s="21"/>
      <c r="K53" s="22"/>
      <c r="L53" s="22"/>
      <c r="M53" s="23"/>
      <c r="N53" s="23"/>
      <c r="O53" s="23"/>
      <c r="P53" s="23"/>
      <c r="Q53" s="23"/>
      <c r="R53" s="23"/>
      <c r="S53" s="21"/>
      <c r="T53" s="22"/>
      <c r="U53" s="23"/>
      <c r="V53" s="23"/>
      <c r="W53" s="23"/>
      <c r="X53" s="23"/>
      <c r="Y53" s="23"/>
      <c r="Z53" s="20"/>
    </row>
    <row r="54" spans="1:26" ht="14.1" customHeight="1" x14ac:dyDescent="0.2">
      <c r="A54" s="10" t="s">
        <v>116</v>
      </c>
      <c r="B54" s="1"/>
      <c r="C54" s="75"/>
      <c r="D54" s="76"/>
      <c r="E54" s="10">
        <f>VLOOKUP("PoweredGroundingVTSComments",Input!$A$1:$B$200,2,FALSE)</f>
        <v>0</v>
      </c>
      <c r="F54" s="77"/>
      <c r="G54" s="77"/>
      <c r="H54" s="77"/>
      <c r="I54" s="77"/>
      <c r="J54" s="21"/>
      <c r="K54" s="22"/>
      <c r="L54" s="22"/>
      <c r="M54" s="23"/>
      <c r="N54" s="23"/>
      <c r="O54" s="23"/>
      <c r="P54" s="23"/>
      <c r="Q54" s="23"/>
      <c r="R54" s="23"/>
      <c r="S54" s="21"/>
      <c r="T54" s="22"/>
      <c r="U54" s="23"/>
      <c r="V54" s="23"/>
      <c r="W54" s="23"/>
      <c r="X54" s="23"/>
      <c r="Y54" s="23"/>
      <c r="Z54" s="20"/>
    </row>
    <row r="55" spans="1:26" ht="14.1" customHeight="1" x14ac:dyDescent="0.2">
      <c r="A55" s="10" t="s">
        <v>117</v>
      </c>
      <c r="B55" s="1"/>
      <c r="C55" s="75"/>
      <c r="D55" s="76"/>
      <c r="E55" s="10" t="str">
        <f>VLOOKUP("PoweredGroundingShipRouteingFile",Input!$A$1:$B$200,2,FALSE)</f>
        <v>RCOeffects_powerground_ShipRouteing_Mask</v>
      </c>
      <c r="F55" s="77"/>
      <c r="G55" s="77"/>
      <c r="H55" s="77"/>
      <c r="I55" s="77"/>
      <c r="J55" s="21"/>
      <c r="K55" s="22"/>
      <c r="L55" s="22"/>
      <c r="M55" s="23"/>
      <c r="N55" s="23"/>
      <c r="O55" s="23"/>
      <c r="P55" s="23"/>
      <c r="Q55" s="23"/>
      <c r="R55" s="23"/>
      <c r="S55" s="21"/>
      <c r="T55" s="22"/>
      <c r="U55" s="23"/>
      <c r="V55" s="23"/>
      <c r="W55" s="23"/>
      <c r="X55" s="23"/>
      <c r="Y55" s="23"/>
      <c r="Z55" s="20"/>
    </row>
    <row r="56" spans="1:26" ht="14.1" customHeight="1" x14ac:dyDescent="0.2">
      <c r="A56" s="10" t="s">
        <v>118</v>
      </c>
      <c r="B56" s="1"/>
      <c r="C56" s="75"/>
      <c r="D56" s="76"/>
      <c r="E56" s="10" t="b">
        <f>VLOOKUP("PoweredGroundingShipRouteingBaseline",Input!$A$1:$B$200,2,FALSE)</f>
        <v>1</v>
      </c>
      <c r="F56" s="77"/>
      <c r="G56" s="77"/>
      <c r="H56" s="77"/>
      <c r="I56" s="77"/>
      <c r="J56" s="21"/>
      <c r="K56" s="22"/>
      <c r="L56" s="22"/>
      <c r="M56" s="23"/>
      <c r="N56" s="23"/>
      <c r="O56" s="23"/>
      <c r="P56" s="23"/>
      <c r="Q56" s="23"/>
      <c r="R56" s="23"/>
      <c r="S56" s="21"/>
      <c r="T56" s="22"/>
      <c r="U56" s="23"/>
      <c r="V56" s="23"/>
      <c r="W56" s="23"/>
      <c r="X56" s="23"/>
      <c r="Y56" s="23"/>
      <c r="Z56" s="20"/>
    </row>
    <row r="57" spans="1:26" ht="14.1" customHeight="1" x14ac:dyDescent="0.2">
      <c r="A57" s="10" t="s">
        <v>119</v>
      </c>
      <c r="B57" s="1"/>
      <c r="C57" s="75"/>
      <c r="D57" s="76"/>
      <c r="E57" s="10">
        <f>VLOOKUP("PoweredGroundingShipRouteingComments",Input!$A$1:$B$200,2,FALSE)</f>
        <v>0</v>
      </c>
      <c r="F57" s="77"/>
      <c r="G57" s="77"/>
      <c r="H57" s="77"/>
      <c r="I57" s="77"/>
      <c r="J57" s="21"/>
      <c r="K57" s="22"/>
      <c r="L57" s="22"/>
      <c r="M57" s="23"/>
      <c r="N57" s="23"/>
      <c r="O57" s="23"/>
      <c r="P57" s="23"/>
      <c r="Q57" s="23"/>
      <c r="R57" s="23"/>
      <c r="S57" s="21"/>
      <c r="T57" s="22"/>
      <c r="U57" s="23"/>
      <c r="V57" s="23"/>
      <c r="W57" s="23"/>
      <c r="X57" s="23"/>
      <c r="Y57" s="23"/>
      <c r="Z57" s="20"/>
    </row>
    <row r="58" spans="1:26" ht="14.1" customHeight="1" x14ac:dyDescent="0.2">
      <c r="A58" s="10" t="s">
        <v>120</v>
      </c>
      <c r="B58" s="1"/>
      <c r="C58" s="75"/>
      <c r="D58" s="76"/>
      <c r="E58" s="10" t="str">
        <f>VLOOKUP("PoweredGroundingUKCMFile",Input!$A$1:$B$200,2,FALSE)</f>
        <v>UKC_RCO.dfs2</v>
      </c>
      <c r="F58" s="77"/>
      <c r="G58" s="77"/>
      <c r="H58" s="77"/>
      <c r="I58" s="77"/>
      <c r="J58" s="21"/>
      <c r="K58" s="22"/>
      <c r="L58" s="22"/>
      <c r="M58" s="23"/>
      <c r="N58" s="23"/>
      <c r="O58" s="23"/>
      <c r="P58" s="23"/>
      <c r="Q58" s="23"/>
      <c r="R58" s="23"/>
      <c r="S58" s="21"/>
      <c r="T58" s="22"/>
      <c r="U58" s="23"/>
      <c r="V58" s="23"/>
      <c r="W58" s="23"/>
      <c r="X58" s="23"/>
      <c r="Y58" s="23"/>
      <c r="Z58" s="20"/>
    </row>
    <row r="59" spans="1:26" ht="14.1" customHeight="1" x14ac:dyDescent="0.2">
      <c r="A59" s="10" t="s">
        <v>121</v>
      </c>
      <c r="B59" s="1"/>
      <c r="C59" s="75"/>
      <c r="D59" s="76"/>
      <c r="E59" s="10" t="b">
        <f>VLOOKUP("PoweredGroundingUKCMBaseline",Input!$A$1:$B$200,2,FALSE)</f>
        <v>1</v>
      </c>
      <c r="F59" s="77"/>
      <c r="G59" s="77"/>
      <c r="H59" s="77"/>
      <c r="I59" s="77"/>
      <c r="J59" s="21"/>
      <c r="K59" s="22"/>
      <c r="L59" s="22"/>
      <c r="M59" s="23"/>
      <c r="N59" s="23"/>
      <c r="O59" s="23"/>
      <c r="P59" s="23"/>
      <c r="Q59" s="23"/>
      <c r="R59" s="23"/>
      <c r="S59" s="21"/>
      <c r="T59" s="22"/>
      <c r="U59" s="23"/>
      <c r="V59" s="23"/>
      <c r="W59" s="23"/>
      <c r="X59" s="23"/>
      <c r="Y59" s="23"/>
      <c r="Z59" s="20"/>
    </row>
    <row r="60" spans="1:26" ht="14.1" customHeight="1" x14ac:dyDescent="0.2">
      <c r="A60" s="10" t="s">
        <v>122</v>
      </c>
      <c r="B60" s="1"/>
      <c r="C60" s="75"/>
      <c r="D60" s="76"/>
      <c r="E60" s="10">
        <f>VLOOKUP("PoweredGroundingUKCMComments",Input!$A$1:$B$200,2,FALSE)</f>
        <v>0</v>
      </c>
      <c r="F60" s="77"/>
      <c r="G60" s="77"/>
      <c r="H60" s="77"/>
      <c r="I60" s="77"/>
      <c r="J60" s="21"/>
      <c r="K60" s="22"/>
      <c r="L60" s="22"/>
      <c r="M60" s="23"/>
      <c r="N60" s="23"/>
      <c r="O60" s="23"/>
      <c r="P60" s="23"/>
      <c r="Q60" s="23"/>
      <c r="R60" s="23"/>
      <c r="S60" s="21"/>
      <c r="T60" s="22"/>
      <c r="U60" s="23"/>
      <c r="V60" s="23"/>
      <c r="W60" s="23"/>
      <c r="X60" s="23"/>
      <c r="Y60" s="23"/>
      <c r="Z60" s="20"/>
    </row>
    <row r="61" spans="1:26" ht="14.1" customHeight="1" x14ac:dyDescent="0.2">
      <c r="A61" s="10" t="s">
        <v>123</v>
      </c>
      <c r="B61" s="1"/>
      <c r="C61" s="75"/>
      <c r="D61" s="76"/>
      <c r="E61" s="10" t="str">
        <f>VLOOKUP("PoweredGroundingAtoNFile",Input!$A$1:$B$200,2,FALSE)</f>
        <v>AtoN_RCO.dfs2</v>
      </c>
      <c r="F61" s="77"/>
      <c r="G61" s="77"/>
      <c r="H61" s="77"/>
      <c r="I61" s="77"/>
      <c r="J61" s="21"/>
      <c r="K61" s="22"/>
      <c r="L61" s="22"/>
      <c r="M61" s="23"/>
      <c r="N61" s="23"/>
      <c r="O61" s="23"/>
      <c r="P61" s="23"/>
      <c r="Q61" s="23"/>
      <c r="R61" s="23"/>
      <c r="S61" s="21"/>
      <c r="T61" s="22"/>
      <c r="U61" s="23"/>
      <c r="V61" s="23"/>
      <c r="W61" s="23"/>
      <c r="X61" s="23"/>
      <c r="Y61" s="23"/>
      <c r="Z61" s="20"/>
    </row>
    <row r="62" spans="1:26" ht="14.1" customHeight="1" x14ac:dyDescent="0.2">
      <c r="A62" s="10" t="s">
        <v>124</v>
      </c>
      <c r="B62" s="1"/>
      <c r="C62" s="77"/>
      <c r="D62" s="76"/>
      <c r="E62" s="10" t="b">
        <f>VLOOKUP("PoweredGroundingAtoNBaseline",Input!$A$1:$B$200,2,FALSE)</f>
        <v>1</v>
      </c>
      <c r="F62" s="10"/>
      <c r="G62" s="10"/>
      <c r="H62" s="10"/>
      <c r="I62" s="10"/>
    </row>
    <row r="63" spans="1:26" ht="14.1" customHeight="1" x14ac:dyDescent="0.2">
      <c r="A63" s="10" t="s">
        <v>125</v>
      </c>
      <c r="B63" s="1"/>
      <c r="C63" s="10"/>
      <c r="D63" s="10"/>
      <c r="E63" s="10">
        <f>VLOOKUP("PoweredGroundingAtoNComments",Input!$A$1:$B$200,2,FALSE)</f>
        <v>0</v>
      </c>
      <c r="F63" s="10"/>
      <c r="G63" s="10"/>
      <c r="H63" s="10"/>
      <c r="I63" s="10"/>
    </row>
    <row r="64" spans="1:26" s="47" customFormat="1" ht="14.1" customHeight="1" x14ac:dyDescent="0.2">
      <c r="A64" s="10" t="s">
        <v>110</v>
      </c>
      <c r="B64" s="1"/>
      <c r="C64" s="10"/>
      <c r="D64" s="10"/>
      <c r="E64" s="10"/>
      <c r="F64" s="74"/>
      <c r="G64" s="74"/>
      <c r="H64" s="74"/>
      <c r="I64" s="74"/>
    </row>
    <row r="65" spans="1:9" s="47" customFormat="1" ht="14.1" customHeight="1" x14ac:dyDescent="0.2">
      <c r="A65" s="10" t="s">
        <v>126</v>
      </c>
      <c r="B65" s="13"/>
      <c r="C65" s="74"/>
      <c r="D65" s="74"/>
      <c r="E65" s="10" t="str">
        <f>VLOOKUP("DriftGroundingETCFile",Input!$A$1:$B$200,2,FALSE)</f>
        <v>ETCTimeMap.dfs2</v>
      </c>
      <c r="F65" s="74"/>
      <c r="G65" s="74"/>
      <c r="H65" s="74"/>
      <c r="I65" s="74"/>
    </row>
    <row r="66" spans="1:9" s="47" customFormat="1" ht="14.1" customHeight="1" x14ac:dyDescent="0.2">
      <c r="A66" s="10" t="s">
        <v>127</v>
      </c>
      <c r="B66" s="13"/>
      <c r="C66" s="74"/>
      <c r="D66" s="74"/>
      <c r="E66" s="10" t="b">
        <f>VLOOKUP("DriftGroundingETCBaseline",Input!$A$1:$B$200,2,FALSE)</f>
        <v>1</v>
      </c>
      <c r="F66" s="74"/>
      <c r="G66" s="74"/>
      <c r="H66" s="74"/>
      <c r="I66" s="74"/>
    </row>
    <row r="67" spans="1:9" s="47" customFormat="1" ht="14.1" customHeight="1" x14ac:dyDescent="0.2">
      <c r="A67" s="10" t="s">
        <v>128</v>
      </c>
      <c r="B67" s="13"/>
      <c r="C67" s="74"/>
      <c r="D67" s="74"/>
      <c r="E67" s="10">
        <f>VLOOKUP("DriftGroundingAnchoringSpeed",Input!$A$1:$B$200,2,FALSE)</f>
        <v>1</v>
      </c>
      <c r="F67" s="74"/>
      <c r="G67" s="74"/>
      <c r="H67" s="74"/>
      <c r="I67" s="74"/>
    </row>
    <row r="68" spans="1:9" s="47" customFormat="1" ht="14.1" customHeight="1" x14ac:dyDescent="0.2">
      <c r="A68" s="10" t="s">
        <v>129</v>
      </c>
      <c r="B68" s="13"/>
      <c r="C68" s="74"/>
      <c r="D68" s="74"/>
      <c r="E68" s="10">
        <f>VLOOKUP("DriftGroundingAnchoringDepth",Input!$A$1:$B$200,2,FALSE)</f>
        <v>50</v>
      </c>
      <c r="F68" s="74"/>
      <c r="G68" s="74"/>
      <c r="H68" s="74"/>
      <c r="I68" s="74"/>
    </row>
    <row r="69" spans="1:9" s="47" customFormat="1" ht="14.1" customHeight="1" x14ac:dyDescent="0.2">
      <c r="A69" s="10" t="s">
        <v>130</v>
      </c>
      <c r="B69" s="13"/>
      <c r="C69" s="74"/>
      <c r="D69" s="74"/>
      <c r="E69" s="10" t="b">
        <f>VLOOKUP("DriftGroundingAnchoringBaseline",Input!$A$1:$B$200,2,FALSE)</f>
        <v>1</v>
      </c>
      <c r="F69" s="74"/>
      <c r="G69" s="74"/>
      <c r="H69" s="74"/>
      <c r="I69" s="74"/>
    </row>
    <row r="70" spans="1:9" s="47" customFormat="1" ht="14.1" customHeight="1" x14ac:dyDescent="0.2">
      <c r="A70" s="10" t="s">
        <v>131</v>
      </c>
      <c r="B70" s="13"/>
      <c r="C70" s="74"/>
      <c r="D70" s="74"/>
      <c r="E70" s="10">
        <f>VLOOKUP("DriftGroundingAnchoringComments",Input!$A$1:$B$200,2,FALSE)</f>
        <v>0</v>
      </c>
      <c r="F70" s="74"/>
      <c r="G70" s="74"/>
      <c r="H70" s="74"/>
      <c r="I70" s="74"/>
    </row>
    <row r="71" spans="1:9" s="47" customFormat="1" ht="14.1" customHeight="1" x14ac:dyDescent="0.2">
      <c r="A71" s="10" t="s">
        <v>132</v>
      </c>
      <c r="B71" s="13"/>
      <c r="C71" s="74"/>
      <c r="D71" s="74"/>
      <c r="E71" s="10" t="str">
        <f>VLOOKUP("DriftGroundingSelfRepairFile",Input!$A$1:$B$200,2,FALSE)</f>
        <v>DNV_SelfRepair_Corrected.csv</v>
      </c>
      <c r="F71" s="74"/>
      <c r="G71" s="74"/>
      <c r="H71" s="74"/>
      <c r="I71" s="74"/>
    </row>
    <row r="72" spans="1:9" s="47" customFormat="1" ht="14.1" customHeight="1" x14ac:dyDescent="0.2">
      <c r="A72" s="10" t="s">
        <v>133</v>
      </c>
      <c r="B72" s="13"/>
      <c r="C72" s="74"/>
      <c r="D72" s="74"/>
      <c r="E72" s="10" t="b">
        <f>VLOOKUP("DriftGroundingSelfRepairBaseline",Input!$A$1:$B$200,2,FALSE)</f>
        <v>1</v>
      </c>
      <c r="F72" s="74"/>
      <c r="G72" s="74"/>
      <c r="H72" s="74"/>
      <c r="I72" s="74"/>
    </row>
    <row r="73" spans="1:9" s="47" customFormat="1" ht="14.1" customHeight="1" x14ac:dyDescent="0.2">
      <c r="A73" s="10" t="s">
        <v>134</v>
      </c>
      <c r="B73" s="13"/>
      <c r="C73" s="74"/>
      <c r="D73" s="74"/>
      <c r="E73" s="10">
        <f>VLOOKUP("DriftGroundingSelfRepairComments",Input!$A$1:$B$200,2,FALSE)</f>
        <v>0</v>
      </c>
      <c r="F73" s="74"/>
      <c r="G73" s="74"/>
      <c r="H73" s="74"/>
      <c r="I73" s="74"/>
    </row>
    <row r="74" spans="1:9" s="47" customFormat="1" ht="9" x14ac:dyDescent="0.15"/>
    <row r="75" spans="1:9" s="47" customFormat="1" ht="9" x14ac:dyDescent="0.15"/>
  </sheetData>
  <mergeCells count="10">
    <mergeCell ref="G25:H25"/>
    <mergeCell ref="G26:H26"/>
    <mergeCell ref="A25:B25"/>
    <mergeCell ref="A26:B26"/>
    <mergeCell ref="A6:I6"/>
    <mergeCell ref="A1:I1"/>
    <mergeCell ref="A2:I2"/>
    <mergeCell ref="A3:I3"/>
    <mergeCell ref="A4:I4"/>
    <mergeCell ref="A5:I5"/>
  </mergeCells>
  <conditionalFormatting sqref="F50:F61">
    <cfRule type="top10" dxfId="7" priority="12" bottom="1" rank="1"/>
  </conditionalFormatting>
  <conditionalFormatting sqref="G50:H61">
    <cfRule type="top10" dxfId="6" priority="11" bottom="1" rank="1"/>
  </conditionalFormatting>
  <conditionalFormatting sqref="O36:O61">
    <cfRule type="top10" dxfId="5" priority="10" bottom="1" rank="1"/>
  </conditionalFormatting>
  <conditionalFormatting sqref="P36:Q61">
    <cfRule type="top10" dxfId="4" priority="9" bottom="1" rank="1"/>
  </conditionalFormatting>
  <conditionalFormatting sqref="W21:W61">
    <cfRule type="top10" dxfId="3" priority="8" bottom="1" rank="1"/>
  </conditionalFormatting>
  <conditionalFormatting sqref="X21:Y61">
    <cfRule type="top10" dxfId="2" priority="7" bottom="1" rank="1"/>
  </conditionalFormatting>
  <conditionalFormatting sqref="W20">
    <cfRule type="top10" dxfId="1" priority="2" bottom="1" rank="1"/>
  </conditionalFormatting>
  <conditionalFormatting sqref="X20:Y20">
    <cfRule type="top10" dxfId="0" priority="1" bottom="1" rank="1"/>
  </conditionalFormatting>
  <pageMargins left="0.70866141732283505" right="0.70866141732283505" top="0.74803149606299202" bottom="0.74803149606299202" header="0.31496062992126" footer="0.31496062992126"/>
  <pageSetup paperSize="9" scale="95" fitToWidth="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2" sqref="B2"/>
    </sheetView>
  </sheetViews>
  <sheetFormatPr defaultRowHeight="15" x14ac:dyDescent="0.25"/>
  <cols>
    <col min="1" max="1" width="20.28515625" customWidth="1"/>
    <col min="2" max="2" width="20.85546875" customWidth="1"/>
    <col min="3" max="3" width="28" style="3" customWidth="1"/>
    <col min="4" max="4" width="0" hidden="1" customWidth="1"/>
    <col min="7" max="7" width="9.140625" style="4"/>
  </cols>
  <sheetData>
    <row r="1" spans="1:10" x14ac:dyDescent="0.25">
      <c r="A1" s="5" t="s">
        <v>0</v>
      </c>
      <c r="J1" s="2"/>
    </row>
    <row r="2" spans="1:10" x14ac:dyDescent="0.25">
      <c r="A2" t="s">
        <v>64</v>
      </c>
      <c r="B2" s="2" t="str">
        <f>TEXT(C2,"dd-mmmm-yy hh:mm")</f>
        <v>12-April-18 11:57</v>
      </c>
      <c r="C2" s="7">
        <f>VLOOKUP("ReportIssuedDate",Input!$A$1:$B$200,2,FALSE)</f>
        <v>43202.497916666667</v>
      </c>
    </row>
    <row r="3" spans="1:10" x14ac:dyDescent="0.25">
      <c r="C3" s="2"/>
    </row>
    <row r="4" spans="1:10" x14ac:dyDescent="0.25">
      <c r="C4" s="2"/>
    </row>
    <row r="5" spans="1:10" x14ac:dyDescent="0.25">
      <c r="B5" s="7"/>
      <c r="C5" s="2"/>
    </row>
    <row r="7" spans="1:10" x14ac:dyDescent="0.25">
      <c r="B7" s="7"/>
      <c r="C7" s="4"/>
    </row>
    <row r="8" spans="1:10" x14ac:dyDescent="0.25">
      <c r="B8" s="7"/>
      <c r="C8" s="4"/>
    </row>
    <row r="9" spans="1:10" x14ac:dyDescent="0.25">
      <c r="B9" s="7"/>
      <c r="C9" s="4"/>
    </row>
    <row r="10" spans="1:10" x14ac:dyDescent="0.25">
      <c r="B10" s="7"/>
      <c r="C1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B16" sqref="B16"/>
    </sheetView>
  </sheetViews>
  <sheetFormatPr defaultRowHeight="15" x14ac:dyDescent="0.25"/>
  <cols>
    <col min="1" max="1" width="38.7109375" customWidth="1"/>
    <col min="2" max="2" width="44" bestFit="1" customWidth="1"/>
  </cols>
  <sheetData>
    <row r="1" spans="1:2" x14ac:dyDescent="0.25">
      <c r="A1" t="s">
        <v>64</v>
      </c>
      <c r="B1" s="65">
        <v>43202.497916666667</v>
      </c>
    </row>
    <row r="2" spans="1:2" x14ac:dyDescent="0.25">
      <c r="A2" t="s">
        <v>2</v>
      </c>
      <c r="B2" t="s">
        <v>50</v>
      </c>
    </row>
    <row r="3" spans="1:2" x14ac:dyDescent="0.25">
      <c r="A3" t="s">
        <v>20</v>
      </c>
      <c r="B3" t="s">
        <v>51</v>
      </c>
    </row>
    <row r="4" spans="1:2" x14ac:dyDescent="0.25">
      <c r="A4" t="s">
        <v>23</v>
      </c>
      <c r="B4">
        <v>2016</v>
      </c>
    </row>
    <row r="5" spans="1:2" x14ac:dyDescent="0.25">
      <c r="A5" t="s">
        <v>22</v>
      </c>
      <c r="B5">
        <v>2020</v>
      </c>
    </row>
    <row r="6" spans="1:2" x14ac:dyDescent="0.25">
      <c r="A6" t="s">
        <v>21</v>
      </c>
      <c r="B6" t="s">
        <v>52</v>
      </c>
    </row>
    <row r="7" spans="1:2" x14ac:dyDescent="0.25">
      <c r="A7" t="s">
        <v>24</v>
      </c>
      <c r="B7" t="s">
        <v>52</v>
      </c>
    </row>
    <row r="8" spans="1:2" x14ac:dyDescent="0.25">
      <c r="A8" t="s">
        <v>74</v>
      </c>
      <c r="B8" t="b">
        <v>0</v>
      </c>
    </row>
    <row r="9" spans="1:2" x14ac:dyDescent="0.25">
      <c r="A9" t="s">
        <v>87</v>
      </c>
      <c r="B9" t="b">
        <v>0</v>
      </c>
    </row>
    <row r="10" spans="1:2" x14ac:dyDescent="0.25">
      <c r="A10" s="5" t="s">
        <v>82</v>
      </c>
    </row>
    <row r="11" spans="1:2" x14ac:dyDescent="0.25">
      <c r="A11" s="5" t="s">
        <v>83</v>
      </c>
    </row>
    <row r="12" spans="1:2" x14ac:dyDescent="0.25">
      <c r="A12" s="5" t="s">
        <v>84</v>
      </c>
    </row>
    <row r="13" spans="1:2" x14ac:dyDescent="0.25">
      <c r="A13" t="s">
        <v>25</v>
      </c>
      <c r="B13" s="17" t="s">
        <v>53</v>
      </c>
    </row>
    <row r="14" spans="1:2" x14ac:dyDescent="0.25">
      <c r="A14" t="s">
        <v>26</v>
      </c>
      <c r="B14" t="b">
        <v>1</v>
      </c>
    </row>
    <row r="15" spans="1:2" x14ac:dyDescent="0.25">
      <c r="A15" s="60" t="s">
        <v>100</v>
      </c>
      <c r="B15" t="s">
        <v>50</v>
      </c>
    </row>
    <row r="16" spans="1:2" x14ac:dyDescent="0.25">
      <c r="A16" t="s">
        <v>27</v>
      </c>
      <c r="B16" t="s">
        <v>54</v>
      </c>
    </row>
    <row r="17" spans="1:2" x14ac:dyDescent="0.25">
      <c r="A17" t="s">
        <v>28</v>
      </c>
      <c r="B17" t="b">
        <v>1</v>
      </c>
    </row>
    <row r="18" spans="1:2" x14ac:dyDescent="0.25">
      <c r="A18" t="s">
        <v>99</v>
      </c>
    </row>
    <row r="19" spans="1:2" x14ac:dyDescent="0.25">
      <c r="A19" t="s">
        <v>29</v>
      </c>
      <c r="B19" t="s">
        <v>55</v>
      </c>
    </row>
    <row r="20" spans="1:2" x14ac:dyDescent="0.25">
      <c r="A20" t="s">
        <v>30</v>
      </c>
      <c r="B20" t="b">
        <v>1</v>
      </c>
    </row>
    <row r="21" spans="1:2" x14ac:dyDescent="0.25">
      <c r="A21" t="s">
        <v>98</v>
      </c>
    </row>
    <row r="22" spans="1:2" x14ac:dyDescent="0.25">
      <c r="A22" s="5" t="s">
        <v>85</v>
      </c>
    </row>
    <row r="23" spans="1:2" x14ac:dyDescent="0.25">
      <c r="A23" t="s">
        <v>31</v>
      </c>
      <c r="B23" t="s">
        <v>57</v>
      </c>
    </row>
    <row r="24" spans="1:2" x14ac:dyDescent="0.25">
      <c r="A24" t="s">
        <v>32</v>
      </c>
      <c r="B24" t="b">
        <v>1</v>
      </c>
    </row>
    <row r="25" spans="1:2" x14ac:dyDescent="0.25">
      <c r="A25" t="s">
        <v>97</v>
      </c>
    </row>
    <row r="26" spans="1:2" x14ac:dyDescent="0.25">
      <c r="A26" t="s">
        <v>33</v>
      </c>
      <c r="B26" t="s">
        <v>56</v>
      </c>
    </row>
    <row r="27" spans="1:2" x14ac:dyDescent="0.25">
      <c r="A27" t="s">
        <v>34</v>
      </c>
      <c r="B27" t="b">
        <v>1</v>
      </c>
    </row>
    <row r="28" spans="1:2" x14ac:dyDescent="0.25">
      <c r="A28" t="s">
        <v>96</v>
      </c>
    </row>
    <row r="29" spans="1:2" x14ac:dyDescent="0.25">
      <c r="A29" t="s">
        <v>35</v>
      </c>
      <c r="B29" s="6" t="s">
        <v>58</v>
      </c>
    </row>
    <row r="30" spans="1:2" x14ac:dyDescent="0.25">
      <c r="A30" t="s">
        <v>36</v>
      </c>
      <c r="B30" t="b">
        <v>1</v>
      </c>
    </row>
    <row r="31" spans="1:2" x14ac:dyDescent="0.25">
      <c r="A31" t="s">
        <v>95</v>
      </c>
    </row>
    <row r="32" spans="1:2" x14ac:dyDescent="0.25">
      <c r="A32" t="s">
        <v>37</v>
      </c>
      <c r="B32" t="s">
        <v>59</v>
      </c>
    </row>
    <row r="33" spans="1:2" x14ac:dyDescent="0.25">
      <c r="A33" t="s">
        <v>38</v>
      </c>
      <c r="B33" t="b">
        <v>1</v>
      </c>
    </row>
    <row r="34" spans="1:2" x14ac:dyDescent="0.25">
      <c r="A34" t="s">
        <v>94</v>
      </c>
    </row>
    <row r="35" spans="1:2" x14ac:dyDescent="0.25">
      <c r="A35" t="s">
        <v>39</v>
      </c>
      <c r="B35" t="s">
        <v>60</v>
      </c>
    </row>
    <row r="36" spans="1:2" x14ac:dyDescent="0.25">
      <c r="A36" t="s">
        <v>40</v>
      </c>
      <c r="B36" t="b">
        <v>1</v>
      </c>
    </row>
    <row r="37" spans="1:2" x14ac:dyDescent="0.25">
      <c r="A37" t="s">
        <v>93</v>
      </c>
    </row>
    <row r="38" spans="1:2" x14ac:dyDescent="0.25">
      <c r="A38" t="s">
        <v>41</v>
      </c>
      <c r="B38" s="14" t="s">
        <v>61</v>
      </c>
    </row>
    <row r="39" spans="1:2" x14ac:dyDescent="0.25">
      <c r="A39" t="s">
        <v>42</v>
      </c>
      <c r="B39" t="b">
        <v>1</v>
      </c>
    </row>
    <row r="40" spans="1:2" x14ac:dyDescent="0.25">
      <c r="A40" t="s">
        <v>92</v>
      </c>
    </row>
    <row r="41" spans="1:2" x14ac:dyDescent="0.25">
      <c r="A41" s="5" t="s">
        <v>86</v>
      </c>
    </row>
    <row r="42" spans="1:2" x14ac:dyDescent="0.25">
      <c r="A42" t="s">
        <v>43</v>
      </c>
      <c r="B42" t="s">
        <v>62</v>
      </c>
    </row>
    <row r="43" spans="1:2" x14ac:dyDescent="0.25">
      <c r="A43" t="s">
        <v>44</v>
      </c>
      <c r="B43" t="b">
        <v>1</v>
      </c>
    </row>
    <row r="44" spans="1:2" x14ac:dyDescent="0.25">
      <c r="A44" t="s">
        <v>48</v>
      </c>
      <c r="B44">
        <v>1</v>
      </c>
    </row>
    <row r="45" spans="1:2" x14ac:dyDescent="0.25">
      <c r="A45" t="s">
        <v>49</v>
      </c>
      <c r="B45">
        <v>50</v>
      </c>
    </row>
    <row r="46" spans="1:2" x14ac:dyDescent="0.25">
      <c r="A46" t="s">
        <v>45</v>
      </c>
      <c r="B46" t="b">
        <v>1</v>
      </c>
    </row>
    <row r="47" spans="1:2" x14ac:dyDescent="0.25">
      <c r="A47" t="s">
        <v>90</v>
      </c>
    </row>
    <row r="48" spans="1:2" x14ac:dyDescent="0.25">
      <c r="A48" t="s">
        <v>46</v>
      </c>
      <c r="B48" t="s">
        <v>63</v>
      </c>
    </row>
    <row r="49" spans="1:2" x14ac:dyDescent="0.25">
      <c r="A49" t="s">
        <v>47</v>
      </c>
      <c r="B49" t="b">
        <v>1</v>
      </c>
    </row>
    <row r="50" spans="1:2" x14ac:dyDescent="0.25">
      <c r="A50" t="s">
        <v>91</v>
      </c>
      <c r="B50" s="6"/>
    </row>
    <row r="55" spans="1:2" x14ac:dyDescent="0.25">
      <c r="B55" s="18"/>
    </row>
    <row r="56" spans="1:2" x14ac:dyDescent="0.25">
      <c r="B56" s="18"/>
    </row>
    <row r="57" spans="1:2" x14ac:dyDescent="0.25">
      <c r="B57" s="18"/>
    </row>
    <row r="74" spans="2:2" x14ac:dyDescent="0.25">
      <c r="B74" s="14"/>
    </row>
    <row r="76" spans="2:2" x14ac:dyDescent="0.25">
      <c r="B76" s="15"/>
    </row>
    <row r="78" spans="2:2" x14ac:dyDescent="0.25">
      <c r="B78" s="18"/>
    </row>
    <row r="83" spans="2:2" x14ac:dyDescent="0.25">
      <c r="B83" s="12"/>
    </row>
    <row r="84" spans="2:2" x14ac:dyDescent="0.25">
      <c r="B84" s="12"/>
    </row>
    <row r="85" spans="2:2" x14ac:dyDescent="0.25">
      <c r="B85" s="16"/>
    </row>
    <row r="86" spans="2:2" x14ac:dyDescent="0.25">
      <c r="B86" s="12"/>
    </row>
    <row r="92" spans="2:2" x14ac:dyDescent="0.25">
      <c r="B92" s="18"/>
    </row>
    <row r="93" spans="2:2" x14ac:dyDescent="0.25">
      <c r="B93" s="18"/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1" sqref="F31"/>
    </sheetView>
  </sheetViews>
  <sheetFormatPr defaultRowHeight="15" x14ac:dyDescent="0.25"/>
  <cols>
    <col min="1" max="1" width="20.42578125" customWidth="1"/>
    <col min="2" max="2" width="10.42578125" customWidth="1"/>
    <col min="3" max="3" width="10.28515625" bestFit="1" customWidth="1"/>
    <col min="4" max="4" width="15" customWidth="1"/>
    <col min="5" max="5" width="9" customWidth="1"/>
    <col min="6" max="6" width="11.7109375" customWidth="1"/>
    <col min="7" max="8" width="10.28515625" bestFit="1" customWidth="1"/>
    <col min="9" max="9" width="11.5703125" bestFit="1" customWidth="1"/>
  </cols>
  <sheetData>
    <row r="1" spans="1:9" x14ac:dyDescent="0.25">
      <c r="A1" s="60"/>
      <c r="B1" s="61" t="s">
        <v>65</v>
      </c>
      <c r="C1" s="61" t="s">
        <v>66</v>
      </c>
      <c r="D1" s="61" t="s">
        <v>67</v>
      </c>
      <c r="E1" s="61" t="s">
        <v>68</v>
      </c>
      <c r="F1" s="61" t="s">
        <v>69</v>
      </c>
      <c r="G1" s="61" t="s">
        <v>70</v>
      </c>
      <c r="H1" s="61" t="s">
        <v>71</v>
      </c>
      <c r="I1" s="61" t="s">
        <v>3</v>
      </c>
    </row>
    <row r="2" spans="1:9" x14ac:dyDescent="0.25">
      <c r="A2" s="61" t="s">
        <v>72</v>
      </c>
      <c r="B2" s="61">
        <v>0</v>
      </c>
      <c r="C2" s="61">
        <v>0</v>
      </c>
      <c r="D2" s="61">
        <v>0</v>
      </c>
      <c r="E2" s="61">
        <v>0</v>
      </c>
      <c r="F2" s="61">
        <v>0</v>
      </c>
      <c r="G2" s="61">
        <v>0</v>
      </c>
      <c r="H2" s="61">
        <v>0</v>
      </c>
      <c r="I2" s="61">
        <v>0</v>
      </c>
    </row>
    <row r="3" spans="1:9" ht="22.5" customHeight="1" x14ac:dyDescent="0.25">
      <c r="A3" s="61" t="s">
        <v>4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defaultRowHeight="15" x14ac:dyDescent="0.25"/>
  <cols>
    <col min="1" max="1" width="15.140625" customWidth="1"/>
    <col min="2" max="2" width="10.7109375" customWidth="1"/>
  </cols>
  <sheetData>
    <row r="1" spans="1:9" ht="30" x14ac:dyDescent="0.25">
      <c r="A1" s="60"/>
      <c r="B1" s="61" t="s">
        <v>65</v>
      </c>
      <c r="C1" s="61" t="s">
        <v>66</v>
      </c>
      <c r="D1" s="61" t="s">
        <v>67</v>
      </c>
      <c r="E1" s="61" t="s">
        <v>68</v>
      </c>
      <c r="F1" s="61" t="s">
        <v>69</v>
      </c>
      <c r="G1" s="61" t="s">
        <v>70</v>
      </c>
      <c r="H1" s="61" t="s">
        <v>71</v>
      </c>
      <c r="I1" s="61" t="s">
        <v>3</v>
      </c>
    </row>
    <row r="2" spans="1:9" x14ac:dyDescent="0.25">
      <c r="A2" s="61" t="s">
        <v>73</v>
      </c>
      <c r="B2" s="61">
        <v>0</v>
      </c>
      <c r="C2" s="61">
        <v>0</v>
      </c>
      <c r="D2" s="61">
        <v>0</v>
      </c>
      <c r="E2" s="61">
        <v>0</v>
      </c>
      <c r="F2" s="61">
        <v>0</v>
      </c>
      <c r="G2" s="61">
        <v>0</v>
      </c>
      <c r="H2" s="61">
        <v>0</v>
      </c>
      <c r="I2" s="61">
        <v>0</v>
      </c>
    </row>
    <row r="3" spans="1:9" x14ac:dyDescent="0.25">
      <c r="A3" s="61" t="s">
        <v>17</v>
      </c>
      <c r="B3" s="61">
        <v>0</v>
      </c>
      <c r="C3" s="61">
        <v>0</v>
      </c>
      <c r="D3" s="61">
        <v>0</v>
      </c>
      <c r="E3" s="61">
        <v>0</v>
      </c>
      <c r="F3" s="61">
        <v>0</v>
      </c>
      <c r="G3" s="61">
        <v>0</v>
      </c>
      <c r="H3" s="61">
        <v>0</v>
      </c>
      <c r="I3" s="61">
        <v>0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"/>
    </sheetView>
  </sheetViews>
  <sheetFormatPr defaultRowHeight="15" x14ac:dyDescent="0.25"/>
  <sheetData>
    <row r="1" spans="1:8" x14ac:dyDescent="0.25">
      <c r="A1" s="60"/>
      <c r="B1" s="61" t="s">
        <v>3</v>
      </c>
      <c r="C1" s="61"/>
      <c r="D1" s="61"/>
      <c r="E1" s="61"/>
      <c r="F1" s="61"/>
      <c r="G1" s="61"/>
      <c r="H1" s="61"/>
    </row>
    <row r="2" spans="1:8" ht="30" x14ac:dyDescent="0.25">
      <c r="A2" s="61" t="s">
        <v>73</v>
      </c>
      <c r="B2" s="61">
        <v>0.71799999999999997</v>
      </c>
      <c r="C2" s="61"/>
      <c r="D2" s="61"/>
      <c r="E2" s="61"/>
      <c r="F2" s="61"/>
      <c r="G2" s="61"/>
      <c r="H2" s="61"/>
    </row>
    <row r="3" spans="1:8" ht="30" x14ac:dyDescent="0.25">
      <c r="A3" s="61" t="s">
        <v>17</v>
      </c>
      <c r="B3" s="60">
        <v>0.77300000000000002</v>
      </c>
      <c r="C3" s="60"/>
      <c r="D3" s="60"/>
      <c r="E3" s="60"/>
      <c r="F3" s="60"/>
      <c r="G3" s="60"/>
      <c r="H3" s="60"/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11" sqref="E11"/>
    </sheetView>
  </sheetViews>
  <sheetFormatPr defaultRowHeight="15" x14ac:dyDescent="0.25"/>
  <cols>
    <col min="1" max="1" width="13.7109375" customWidth="1"/>
  </cols>
  <sheetData>
    <row r="1" spans="1:8" x14ac:dyDescent="0.25">
      <c r="A1" s="60"/>
      <c r="B1" s="61" t="s">
        <v>3</v>
      </c>
      <c r="C1" s="61"/>
      <c r="D1" s="61"/>
      <c r="E1" s="61"/>
      <c r="F1" s="61"/>
      <c r="G1" s="61"/>
      <c r="H1" s="61"/>
    </row>
    <row r="2" spans="1:8" x14ac:dyDescent="0.25">
      <c r="A2" s="61" t="s">
        <v>73</v>
      </c>
      <c r="B2" s="61">
        <v>0.54200000000000004</v>
      </c>
      <c r="C2" s="61"/>
      <c r="D2" s="61"/>
      <c r="E2" s="61"/>
      <c r="F2" s="61"/>
      <c r="G2" s="61"/>
      <c r="H2" s="61"/>
    </row>
    <row r="3" spans="1:8" x14ac:dyDescent="0.25">
      <c r="A3" s="61" t="s">
        <v>17</v>
      </c>
      <c r="B3" s="60">
        <v>0.66900000000000004</v>
      </c>
      <c r="C3" s="60"/>
      <c r="D3" s="60"/>
      <c r="E3" s="60"/>
      <c r="F3" s="60"/>
      <c r="G3" s="60"/>
      <c r="H3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SPT</vt:lpstr>
      <vt:lpstr>Calculations</vt:lpstr>
      <vt:lpstr>Input</vt:lpstr>
      <vt:lpstr>VesselDensity</vt:lpstr>
      <vt:lpstr>DriftGroundingRisk</vt:lpstr>
      <vt:lpstr>PoweredGroundingRIsk</vt:lpstr>
      <vt:lpstr>CollisionRisk</vt:lpstr>
      <vt:lpstr>WayPoints</vt:lpstr>
    </vt:vector>
  </TitlesOfParts>
  <Manager/>
  <Company>DHI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Brandi Mortensen</dc:creator>
  <cp:keywords/>
  <dc:description/>
  <cp:lastModifiedBy>Christopher Crossley</cp:lastModifiedBy>
  <cp:lastPrinted>2017-08-02T00:37:32Z</cp:lastPrinted>
  <dcterms:created xsi:type="dcterms:W3CDTF">2017-04-26T03:10:55Z</dcterms:created>
  <dcterms:modified xsi:type="dcterms:W3CDTF">2019-05-24T02:09:18Z</dcterms:modified>
  <cp:category/>
  <cp:contentStatus/>
</cp:coreProperties>
</file>